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koudjodji.UNDPCIV\OneDrive - United Nations Development Programme\DOSSIER PNUD\DOSSIERS 2018\DOSSIERS ITB 2018\UNDP-ITB-2018-092 TRVX DE CONSTRUCTION DE BÂTIMENTS ET DE BUREAUX GENRE\"/>
    </mc:Choice>
  </mc:AlternateContent>
  <xr:revisionPtr revIDLastSave="0" documentId="10_ncr:100000_{EDE28380-D3DE-4BCF-84A4-B3EB71FF3E05}" xr6:coauthVersionLast="31" xr6:coauthVersionMax="31" xr10:uidLastSave="{00000000-0000-0000-0000-000000000000}"/>
  <bookViews>
    <workbookView xWindow="0" yWindow="0" windowWidth="23040" windowHeight="9360" firstSheet="2" activeTab="5" xr2:uid="{00000000-000D-0000-FFFF-FFFF00000000}"/>
  </bookViews>
  <sheets>
    <sheet name="ALLOTISSEMENT " sheetId="4" r:id="rId1"/>
    <sheet name="PROGRAMME VISITES OBLIGATOIRES" sheetId="53" r:id="rId2"/>
    <sheet name="RECAPITULATIF" sheetId="52" r:id="rId3"/>
    <sheet name="DQ Gender Desk MAN" sheetId="9" r:id="rId4"/>
    <sheet name="DQ Gender Desk SANGOUINE" sheetId="41" r:id="rId5"/>
    <sheet name="DQ Gender Desk ZOUAN HOUNIEN" sheetId="42" r:id="rId6"/>
    <sheet name="DQ Gender Desk SAN PEDRO" sheetId="43" r:id="rId7"/>
    <sheet name="DQ Gender Desk DANANE" sheetId="44" r:id="rId8"/>
    <sheet name="DQ Gender Desk BLOLEQUIN" sheetId="45" r:id="rId9"/>
    <sheet name="DQ Gender Desk TOULEPLEU" sheetId="46" r:id="rId10"/>
    <sheet name="DQ Gender Desk BIANKOUMA" sheetId="47" r:id="rId11"/>
    <sheet name="DQ Gender Desk TAÏ" sheetId="50" r:id="rId12"/>
    <sheet name="DQ Gender Desk TABOU" sheetId="51" r:id="rId13"/>
    <sheet name="DQ Gender Desk SIPILOU" sheetId="48" r:id="rId14"/>
    <sheet name="DQ Gender Desk KOUIBLY" sheetId="49" r:id="rId15"/>
  </sheets>
  <definedNames>
    <definedName name="_xlnm.Print_Titles" localSheetId="14">'DQ Gender Desk KOUIBLY'!$5:$5</definedName>
    <definedName name="_xlnm.Print_Titles" localSheetId="3">'DQ Gender Desk MAN'!$5:$5</definedName>
  </definedNames>
  <calcPr calcId="179017" concurrentCalc="0"/>
</workbook>
</file>

<file path=xl/calcChain.xml><?xml version="1.0" encoding="utf-8"?>
<calcChain xmlns="http://schemas.openxmlformats.org/spreadsheetml/2006/main">
  <c r="D42" i="46" l="1"/>
  <c r="D41" i="45"/>
  <c r="D281" i="49"/>
  <c r="D277" i="9"/>
  <c r="D282" i="41"/>
  <c r="D280" i="50"/>
  <c r="D280" i="47"/>
  <c r="D282" i="42"/>
  <c r="D280" i="48"/>
  <c r="D279" i="51"/>
  <c r="D19" i="49"/>
  <c r="D18" i="48"/>
  <c r="D18" i="51"/>
  <c r="D18" i="47"/>
  <c r="D18" i="50"/>
  <c r="D10" i="49"/>
  <c r="D22" i="49"/>
  <c r="D24" i="49"/>
  <c r="D33" i="49"/>
  <c r="D35" i="49"/>
  <c r="D36" i="49"/>
  <c r="D38" i="49"/>
  <c r="D39" i="49"/>
  <c r="D40" i="49"/>
  <c r="D42" i="49"/>
  <c r="D45" i="49"/>
  <c r="D46" i="49"/>
  <c r="D48" i="49"/>
  <c r="D49" i="49"/>
  <c r="D55" i="49"/>
  <c r="D59" i="49"/>
  <c r="D61" i="49"/>
  <c r="D63" i="49"/>
  <c r="D64" i="49"/>
  <c r="D65" i="49"/>
  <c r="D67" i="49"/>
  <c r="D68" i="49"/>
  <c r="D70" i="49"/>
  <c r="D71" i="49"/>
  <c r="D72" i="49"/>
  <c r="D83" i="49"/>
  <c r="D84" i="49"/>
  <c r="D91" i="49"/>
  <c r="D98" i="49"/>
  <c r="D99" i="49"/>
  <c r="D100" i="49"/>
  <c r="D109" i="49"/>
  <c r="D111" i="49"/>
  <c r="D114" i="49"/>
  <c r="D115" i="49"/>
  <c r="D136" i="49"/>
  <c r="D153" i="49"/>
  <c r="D161" i="49"/>
  <c r="D162" i="49"/>
  <c r="D163" i="49"/>
  <c r="D169" i="49"/>
  <c r="D170" i="49"/>
  <c r="D171" i="49"/>
  <c r="D200" i="49"/>
  <c r="D201" i="49"/>
  <c r="D220" i="49"/>
  <c r="D221" i="49"/>
  <c r="D222" i="49"/>
  <c r="D225" i="49"/>
  <c r="D234" i="49"/>
  <c r="D235" i="49"/>
  <c r="D241" i="49"/>
  <c r="D248" i="49"/>
  <c r="D250" i="49"/>
  <c r="D258" i="49"/>
  <c r="D261" i="49"/>
  <c r="D263" i="49"/>
  <c r="D266" i="49"/>
  <c r="D268" i="49"/>
  <c r="D270" i="49"/>
  <c r="D271" i="49"/>
  <c r="D282" i="49"/>
  <c r="D290" i="49"/>
  <c r="D25" i="49"/>
  <c r="D10" i="48"/>
  <c r="D21" i="48"/>
  <c r="D23" i="48"/>
  <c r="D32" i="48"/>
  <c r="D34" i="48"/>
  <c r="D35" i="48"/>
  <c r="D37" i="48"/>
  <c r="D38" i="48"/>
  <c r="D39" i="48"/>
  <c r="D41" i="48"/>
  <c r="D44" i="48"/>
  <c r="D45" i="48"/>
  <c r="D47" i="48"/>
  <c r="D48" i="48"/>
  <c r="D54" i="48"/>
  <c r="D58" i="48"/>
  <c r="D60" i="48"/>
  <c r="D62" i="48"/>
  <c r="D63" i="48"/>
  <c r="D64" i="48"/>
  <c r="D66" i="48"/>
  <c r="D67" i="48"/>
  <c r="D69" i="48"/>
  <c r="D70" i="48"/>
  <c r="D71" i="48"/>
  <c r="D82" i="48"/>
  <c r="D83" i="48"/>
  <c r="D90" i="48"/>
  <c r="D97" i="48"/>
  <c r="D98" i="48"/>
  <c r="D99" i="48"/>
  <c r="D108" i="48"/>
  <c r="D110" i="48"/>
  <c r="D113" i="48"/>
  <c r="D114" i="48"/>
  <c r="D135" i="48"/>
  <c r="D152" i="48"/>
  <c r="D160" i="48"/>
  <c r="D161" i="48"/>
  <c r="D162" i="48"/>
  <c r="D168" i="48"/>
  <c r="D169" i="48"/>
  <c r="D170" i="48"/>
  <c r="D199" i="48"/>
  <c r="D200" i="48"/>
  <c r="D219" i="48"/>
  <c r="D220" i="48"/>
  <c r="D221" i="48"/>
  <c r="D224" i="48"/>
  <c r="D233" i="48"/>
  <c r="D234" i="48"/>
  <c r="D240" i="48"/>
  <c r="D247" i="48"/>
  <c r="D249" i="48"/>
  <c r="D257" i="48"/>
  <c r="D260" i="48"/>
  <c r="D262" i="48"/>
  <c r="D265" i="48"/>
  <c r="D267" i="48"/>
  <c r="D269" i="48"/>
  <c r="D270" i="48"/>
  <c r="D281" i="48"/>
  <c r="D289" i="48"/>
  <c r="D24" i="48"/>
  <c r="D107" i="51"/>
  <c r="D107" i="50"/>
  <c r="D107" i="47"/>
  <c r="D109" i="42"/>
  <c r="D10" i="51"/>
  <c r="E307" i="51"/>
  <c r="D21" i="51"/>
  <c r="D23" i="51"/>
  <c r="E308" i="51"/>
  <c r="D32" i="51"/>
  <c r="D34" i="51"/>
  <c r="D35" i="51"/>
  <c r="D37" i="51"/>
  <c r="D38" i="51"/>
  <c r="D39" i="51"/>
  <c r="D41" i="51"/>
  <c r="D44" i="51"/>
  <c r="D45" i="51"/>
  <c r="D47" i="51"/>
  <c r="D48" i="51"/>
  <c r="D54" i="51"/>
  <c r="D58" i="51"/>
  <c r="D60" i="51"/>
  <c r="D62" i="51"/>
  <c r="D63" i="51"/>
  <c r="D64" i="51"/>
  <c r="D66" i="51"/>
  <c r="D67" i="51"/>
  <c r="D69" i="51"/>
  <c r="D70" i="51"/>
  <c r="D71" i="51"/>
  <c r="E309" i="51"/>
  <c r="D82" i="51"/>
  <c r="D83" i="51"/>
  <c r="E310" i="51"/>
  <c r="D90" i="51"/>
  <c r="E311" i="51"/>
  <c r="D97" i="51"/>
  <c r="D98" i="51"/>
  <c r="D99" i="51"/>
  <c r="E312" i="51"/>
  <c r="D108" i="51"/>
  <c r="D110" i="51"/>
  <c r="D113" i="51"/>
  <c r="D114" i="51"/>
  <c r="E313" i="51"/>
  <c r="D134" i="51"/>
  <c r="E314" i="51"/>
  <c r="D151" i="51"/>
  <c r="D159" i="51"/>
  <c r="D160" i="51"/>
  <c r="D161" i="51"/>
  <c r="D167" i="51"/>
  <c r="D168" i="51"/>
  <c r="D169" i="51"/>
  <c r="E315" i="51"/>
  <c r="E316" i="51"/>
  <c r="D198" i="51"/>
  <c r="D199" i="51"/>
  <c r="E317" i="51"/>
  <c r="E318" i="51"/>
  <c r="D218" i="51"/>
  <c r="D219" i="51"/>
  <c r="D220" i="51"/>
  <c r="D223" i="51"/>
  <c r="E319" i="51"/>
  <c r="D232" i="51"/>
  <c r="D233" i="51"/>
  <c r="D239" i="51"/>
  <c r="E320" i="51"/>
  <c r="D246" i="51"/>
  <c r="D248" i="51"/>
  <c r="E321" i="51"/>
  <c r="D256" i="51"/>
  <c r="F256" i="51"/>
  <c r="D259" i="51"/>
  <c r="D261" i="51"/>
  <c r="D264" i="51"/>
  <c r="D266" i="51"/>
  <c r="D268" i="51"/>
  <c r="D269" i="51"/>
  <c r="E322" i="51"/>
  <c r="D280" i="51"/>
  <c r="E323" i="51"/>
  <c r="D288" i="51"/>
  <c r="E324" i="51"/>
  <c r="E326" i="51"/>
  <c r="D24" i="51"/>
  <c r="D99" i="41"/>
  <c r="D100" i="41"/>
  <c r="D101" i="41"/>
  <c r="D271" i="41"/>
  <c r="D272" i="41"/>
  <c r="D99" i="42"/>
  <c r="D100" i="42"/>
  <c r="D101" i="42"/>
  <c r="D271" i="42"/>
  <c r="D272" i="42"/>
  <c r="D10" i="42"/>
  <c r="D20" i="42"/>
  <c r="D23" i="42"/>
  <c r="D25" i="42"/>
  <c r="D26" i="42"/>
  <c r="D34" i="42"/>
  <c r="D36" i="42"/>
  <c r="D37" i="42"/>
  <c r="D39" i="42"/>
  <c r="D40" i="42"/>
  <c r="D41" i="42"/>
  <c r="D43" i="42"/>
  <c r="D46" i="42"/>
  <c r="D47" i="42"/>
  <c r="D49" i="42"/>
  <c r="D50" i="42"/>
  <c r="D56" i="42"/>
  <c r="D60" i="42"/>
  <c r="D62" i="42"/>
  <c r="D64" i="42"/>
  <c r="D65" i="42"/>
  <c r="D66" i="42"/>
  <c r="D68" i="42"/>
  <c r="D69" i="42"/>
  <c r="D71" i="42"/>
  <c r="D72" i="42"/>
  <c r="D73" i="42"/>
  <c r="D84" i="42"/>
  <c r="D85" i="42"/>
  <c r="D92" i="42"/>
  <c r="D110" i="42"/>
  <c r="D112" i="42"/>
  <c r="D115" i="42"/>
  <c r="D116" i="42"/>
  <c r="D137" i="42"/>
  <c r="D154" i="42"/>
  <c r="D162" i="42"/>
  <c r="D163" i="42"/>
  <c r="D164" i="42"/>
  <c r="D170" i="42"/>
  <c r="D171" i="42"/>
  <c r="D172" i="42"/>
  <c r="D201" i="42"/>
  <c r="D202" i="42"/>
  <c r="D213" i="42"/>
  <c r="D221" i="42"/>
  <c r="D222" i="42"/>
  <c r="D223" i="42"/>
  <c r="D226" i="42"/>
  <c r="D235" i="42"/>
  <c r="D236" i="42"/>
  <c r="D242" i="42"/>
  <c r="D249" i="42"/>
  <c r="D251" i="42"/>
  <c r="D259" i="42"/>
  <c r="D262" i="42"/>
  <c r="D264" i="42"/>
  <c r="D267" i="42"/>
  <c r="D269" i="42"/>
  <c r="D283" i="42"/>
  <c r="D291" i="42"/>
  <c r="D72" i="41"/>
  <c r="D262" i="41"/>
  <c r="D71" i="41"/>
  <c r="D264" i="41"/>
  <c r="D267" i="41"/>
  <c r="D221" i="41"/>
  <c r="D249" i="41"/>
  <c r="D251" i="41"/>
  <c r="D269" i="41"/>
  <c r="D259" i="41"/>
  <c r="D235" i="41"/>
  <c r="D236" i="41"/>
  <c r="D242" i="41"/>
  <c r="D222" i="41"/>
  <c r="D223" i="41"/>
  <c r="D226" i="41"/>
  <c r="D213" i="41"/>
  <c r="D201" i="41"/>
  <c r="D202" i="41"/>
  <c r="D154" i="41"/>
  <c r="D162" i="41"/>
  <c r="D163" i="41"/>
  <c r="D164" i="41"/>
  <c r="D170" i="41"/>
  <c r="D171" i="41"/>
  <c r="D172" i="41"/>
  <c r="D137" i="41"/>
  <c r="D109" i="41"/>
  <c r="D110" i="41"/>
  <c r="D112" i="41"/>
  <c r="D115" i="41"/>
  <c r="D116" i="41"/>
  <c r="D92" i="41"/>
  <c r="D85" i="41"/>
  <c r="D84" i="41"/>
  <c r="D60" i="41"/>
  <c r="D62" i="41"/>
  <c r="D64" i="41"/>
  <c r="D65" i="41"/>
  <c r="D66" i="41"/>
  <c r="D68" i="41"/>
  <c r="D69" i="41"/>
  <c r="D73" i="41"/>
  <c r="D56" i="41"/>
  <c r="D36" i="41"/>
  <c r="D37" i="41"/>
  <c r="D39" i="41"/>
  <c r="D40" i="41"/>
  <c r="D41" i="41"/>
  <c r="D43" i="41"/>
  <c r="D46" i="41"/>
  <c r="D47" i="41"/>
  <c r="D49" i="41"/>
  <c r="D50" i="41"/>
  <c r="D34" i="41"/>
  <c r="D20" i="41"/>
  <c r="D23" i="41"/>
  <c r="D25" i="41"/>
  <c r="D26" i="41"/>
  <c r="D10" i="41"/>
  <c r="D10" i="50"/>
  <c r="D21" i="50"/>
  <c r="D23" i="50"/>
  <c r="D32" i="50"/>
  <c r="D34" i="50"/>
  <c r="D35" i="50"/>
  <c r="D37" i="50"/>
  <c r="D38" i="50"/>
  <c r="D39" i="50"/>
  <c r="D41" i="50"/>
  <c r="D44" i="50"/>
  <c r="D45" i="50"/>
  <c r="D47" i="50"/>
  <c r="D48" i="50"/>
  <c r="D54" i="50"/>
  <c r="D58" i="50"/>
  <c r="D60" i="50"/>
  <c r="D62" i="50"/>
  <c r="D63" i="50"/>
  <c r="D64" i="50"/>
  <c r="D66" i="50"/>
  <c r="D67" i="50"/>
  <c r="D69" i="50"/>
  <c r="D70" i="50"/>
  <c r="D71" i="50"/>
  <c r="D82" i="50"/>
  <c r="D83" i="50"/>
  <c r="D90" i="50"/>
  <c r="D97" i="50"/>
  <c r="D98" i="50"/>
  <c r="D99" i="50"/>
  <c r="D108" i="50"/>
  <c r="D110" i="50"/>
  <c r="D113" i="50"/>
  <c r="D114" i="50"/>
  <c r="D135" i="50"/>
  <c r="D152" i="50"/>
  <c r="D160" i="50"/>
  <c r="D161" i="50"/>
  <c r="D162" i="50"/>
  <c r="D168" i="50"/>
  <c r="D169" i="50"/>
  <c r="D170" i="50"/>
  <c r="D199" i="50"/>
  <c r="D200" i="50"/>
  <c r="D219" i="50"/>
  <c r="D220" i="50"/>
  <c r="D221" i="50"/>
  <c r="D224" i="50"/>
  <c r="D233" i="50"/>
  <c r="D234" i="50"/>
  <c r="D240" i="50"/>
  <c r="D247" i="50"/>
  <c r="D249" i="50"/>
  <c r="D257" i="50"/>
  <c r="D260" i="50"/>
  <c r="D262" i="50"/>
  <c r="D265" i="50"/>
  <c r="D267" i="50"/>
  <c r="D269" i="50"/>
  <c r="D270" i="50"/>
  <c r="D281" i="50"/>
  <c r="D289" i="50"/>
  <c r="D24" i="50"/>
  <c r="D10" i="47"/>
  <c r="D21" i="47"/>
  <c r="D23" i="47"/>
  <c r="D24" i="47"/>
  <c r="D32" i="47"/>
  <c r="D34" i="47"/>
  <c r="D35" i="47"/>
  <c r="D37" i="47"/>
  <c r="D38" i="47"/>
  <c r="D39" i="47"/>
  <c r="D41" i="47"/>
  <c r="D44" i="47"/>
  <c r="D45" i="47"/>
  <c r="D47" i="47"/>
  <c r="D48" i="47"/>
  <c r="D54" i="47"/>
  <c r="D58" i="47"/>
  <c r="D60" i="47"/>
  <c r="D62" i="47"/>
  <c r="D63" i="47"/>
  <c r="D64" i="47"/>
  <c r="D66" i="47"/>
  <c r="D67" i="47"/>
  <c r="D69" i="47"/>
  <c r="D70" i="47"/>
  <c r="D71" i="47"/>
  <c r="D82" i="47"/>
  <c r="D83" i="47"/>
  <c r="D90" i="47"/>
  <c r="D97" i="47"/>
  <c r="D98" i="47"/>
  <c r="D99" i="47"/>
  <c r="D108" i="47"/>
  <c r="D110" i="47"/>
  <c r="D113" i="47"/>
  <c r="D114" i="47"/>
  <c r="D135" i="47"/>
  <c r="D152" i="47"/>
  <c r="D160" i="47"/>
  <c r="D161" i="47"/>
  <c r="D162" i="47"/>
  <c r="D168" i="47"/>
  <c r="D169" i="47"/>
  <c r="D170" i="47"/>
  <c r="D199" i="47"/>
  <c r="D200" i="47"/>
  <c r="D219" i="47"/>
  <c r="D220" i="47"/>
  <c r="D221" i="47"/>
  <c r="D224" i="47"/>
  <c r="D233" i="47"/>
  <c r="D234" i="47"/>
  <c r="D240" i="47"/>
  <c r="D247" i="47"/>
  <c r="D249" i="47"/>
  <c r="D257" i="47"/>
  <c r="D260" i="47"/>
  <c r="D262" i="47"/>
  <c r="D265" i="47"/>
  <c r="D267" i="47"/>
  <c r="D269" i="47"/>
  <c r="D270" i="47"/>
  <c r="D281" i="47"/>
  <c r="D289" i="47"/>
  <c r="D10" i="9"/>
  <c r="D18" i="9"/>
  <c r="D20" i="9"/>
  <c r="D29" i="9"/>
  <c r="D31" i="9"/>
  <c r="D32" i="9"/>
  <c r="D34" i="9"/>
  <c r="D35" i="9"/>
  <c r="D36" i="9"/>
  <c r="D38" i="9"/>
  <c r="D41" i="9"/>
  <c r="D42" i="9"/>
  <c r="D44" i="9"/>
  <c r="D45" i="9"/>
  <c r="D51" i="9"/>
  <c r="D55" i="9"/>
  <c r="D57" i="9"/>
  <c r="D59" i="9"/>
  <c r="D60" i="9"/>
  <c r="D61" i="9"/>
  <c r="D63" i="9"/>
  <c r="D64" i="9"/>
  <c r="D66" i="9"/>
  <c r="D67" i="9"/>
  <c r="D68" i="9"/>
  <c r="D79" i="9"/>
  <c r="D80" i="9"/>
  <c r="D87" i="9"/>
  <c r="D94" i="9"/>
  <c r="D95" i="9"/>
  <c r="D96" i="9"/>
  <c r="D104" i="9"/>
  <c r="D105" i="9"/>
  <c r="D107" i="9"/>
  <c r="D110" i="9"/>
  <c r="D111" i="9"/>
  <c r="D132" i="9"/>
  <c r="D148" i="9"/>
  <c r="D149" i="9"/>
  <c r="D157" i="9"/>
  <c r="D158" i="9"/>
  <c r="D159" i="9"/>
  <c r="D165" i="9"/>
  <c r="D166" i="9"/>
  <c r="D167" i="9"/>
  <c r="D196" i="9"/>
  <c r="D197" i="9"/>
  <c r="D216" i="9"/>
  <c r="D217" i="9"/>
  <c r="D218" i="9"/>
  <c r="D221" i="9"/>
  <c r="D230" i="9"/>
  <c r="D231" i="9"/>
  <c r="D237" i="9"/>
  <c r="D244" i="9"/>
  <c r="D246" i="9"/>
  <c r="D254" i="9"/>
  <c r="D257" i="9"/>
  <c r="D259" i="9"/>
  <c r="D262" i="9"/>
  <c r="D264" i="9"/>
  <c r="D266" i="9"/>
  <c r="D267" i="9"/>
  <c r="D278" i="9"/>
  <c r="D286" i="9"/>
  <c r="D30" i="45"/>
  <c r="D32" i="45"/>
  <c r="D33" i="45"/>
  <c r="D34" i="45"/>
  <c r="D37" i="45"/>
  <c r="D38" i="45"/>
  <c r="D39" i="45"/>
  <c r="D161" i="46"/>
  <c r="D33" i="46"/>
  <c r="D38" i="46"/>
  <c r="D31" i="46"/>
  <c r="D34" i="46"/>
  <c r="D35" i="46"/>
  <c r="D39" i="46"/>
  <c r="D40" i="46"/>
  <c r="D10" i="46"/>
  <c r="D18" i="46"/>
  <c r="D19" i="46"/>
  <c r="D20" i="46"/>
  <c r="D24" i="46"/>
  <c r="D51" i="46"/>
  <c r="D72" i="46"/>
  <c r="D79" i="46"/>
  <c r="D138" i="46"/>
  <c r="D139" i="46"/>
  <c r="D140" i="46"/>
  <c r="D141" i="46"/>
  <c r="D86" i="46"/>
  <c r="D70" i="45"/>
  <c r="D10" i="45"/>
  <c r="D18" i="45"/>
  <c r="D23" i="45"/>
  <c r="D50" i="45"/>
  <c r="D77" i="45"/>
  <c r="D159" i="45"/>
  <c r="D136" i="45"/>
  <c r="D137" i="45"/>
  <c r="D138" i="45"/>
  <c r="D139" i="45"/>
  <c r="D144" i="43"/>
  <c r="D10" i="44"/>
  <c r="D13" i="44"/>
  <c r="D22" i="44"/>
  <c r="D23" i="44"/>
  <c r="D31" i="44"/>
  <c r="D32" i="44"/>
  <c r="D33" i="44"/>
  <c r="D36" i="44"/>
  <c r="D37" i="44"/>
  <c r="D40" i="44"/>
  <c r="D41" i="44"/>
  <c r="D42" i="44"/>
  <c r="D44" i="44"/>
  <c r="D45" i="44"/>
  <c r="D46" i="44"/>
  <c r="D48" i="44"/>
  <c r="D49" i="44"/>
  <c r="D50" i="44"/>
  <c r="D52" i="44"/>
  <c r="D54" i="44"/>
  <c r="D55" i="44"/>
  <c r="D62" i="44"/>
  <c r="D63" i="44"/>
  <c r="D70" i="44"/>
  <c r="D77" i="44"/>
  <c r="D93" i="44"/>
  <c r="D94" i="44"/>
  <c r="D95" i="44"/>
  <c r="D100" i="44"/>
  <c r="D101" i="44"/>
  <c r="D102" i="44"/>
  <c r="D149" i="44"/>
  <c r="D150" i="44"/>
  <c r="D177" i="44"/>
  <c r="D187" i="44"/>
  <c r="D189" i="44"/>
  <c r="D190" i="44"/>
  <c r="D200" i="44"/>
  <c r="D201" i="44"/>
  <c r="D76" i="43"/>
  <c r="D143" i="43"/>
  <c r="D141" i="43"/>
  <c r="D138" i="43"/>
  <c r="D15" i="43"/>
  <c r="D115" i="43"/>
  <c r="D88" i="43"/>
  <c r="D87" i="43"/>
  <c r="D62" i="43"/>
  <c r="D12" i="43"/>
  <c r="D64" i="43"/>
  <c r="D65" i="43"/>
  <c r="D136" i="43"/>
  <c r="D60" i="43"/>
  <c r="D59" i="43"/>
  <c r="D58" i="43"/>
  <c r="D56" i="43"/>
  <c r="D55" i="43"/>
  <c r="D54" i="43"/>
  <c r="D39" i="43"/>
  <c r="D40" i="43"/>
  <c r="D41" i="43"/>
  <c r="D43" i="43"/>
  <c r="D45" i="43"/>
  <c r="D44" i="43"/>
  <c r="D37" i="43"/>
  <c r="D36" i="43"/>
  <c r="D34" i="43"/>
  <c r="D27" i="43"/>
  <c r="D47" i="43"/>
  <c r="D26" i="43"/>
  <c r="D24" i="43"/>
  <c r="D14" i="43"/>
  <c r="D114" i="43"/>
  <c r="D11" i="43"/>
  <c r="D10" i="43"/>
  <c r="D291" i="41"/>
  <c r="D283" i="41"/>
  <c r="D133" i="43"/>
  <c r="D48" i="43"/>
  <c r="D21" i="9"/>
</calcChain>
</file>

<file path=xl/sharedStrings.xml><?xml version="1.0" encoding="utf-8"?>
<sst xmlns="http://schemas.openxmlformats.org/spreadsheetml/2006/main" count="6330" uniqueCount="752">
  <si>
    <t>DESIGNATION DES OUVRAGES</t>
  </si>
  <si>
    <t>U</t>
  </si>
  <si>
    <t>PRIX TOTAL</t>
  </si>
  <si>
    <t>m3</t>
  </si>
  <si>
    <t>2.1</t>
  </si>
  <si>
    <t>2.1.1</t>
  </si>
  <si>
    <t xml:space="preserve"> </t>
  </si>
  <si>
    <t>2.1.1.1</t>
  </si>
  <si>
    <t>m2</t>
  </si>
  <si>
    <t>2.1.2</t>
  </si>
  <si>
    <t>2.2</t>
  </si>
  <si>
    <t>2.2.1</t>
  </si>
  <si>
    <t>2.2.2</t>
  </si>
  <si>
    <t>2.2.3</t>
  </si>
  <si>
    <t xml:space="preserve">TOTAL 2 : GROS OEUVRE  </t>
  </si>
  <si>
    <t>ml</t>
  </si>
  <si>
    <t>6.1</t>
  </si>
  <si>
    <t>6.1.1</t>
  </si>
  <si>
    <t>u</t>
  </si>
  <si>
    <t>6.1.2</t>
  </si>
  <si>
    <t>7.1</t>
  </si>
  <si>
    <t>7.1.1</t>
  </si>
  <si>
    <t>7.2</t>
  </si>
  <si>
    <t>7.3</t>
  </si>
  <si>
    <t>8.2</t>
  </si>
  <si>
    <t>8.2.1</t>
  </si>
  <si>
    <t>10.1</t>
  </si>
  <si>
    <t>10.2</t>
  </si>
  <si>
    <t>10.3</t>
  </si>
  <si>
    <t>10.4</t>
  </si>
  <si>
    <t>TOTAL 10 :  ELECTRICITE</t>
  </si>
  <si>
    <t>TOTAL 14 : REVETEMENTS DURS</t>
  </si>
  <si>
    <t>16.1</t>
  </si>
  <si>
    <t>16.1.2</t>
  </si>
  <si>
    <t>16.2</t>
  </si>
  <si>
    <t>18.1</t>
  </si>
  <si>
    <t>18.2</t>
  </si>
  <si>
    <t>TOTAL GENERAL HT</t>
  </si>
  <si>
    <t>N°</t>
  </si>
  <si>
    <t>DESIGNATION</t>
  </si>
  <si>
    <t>MONTANTS</t>
  </si>
  <si>
    <t>16.1.1</t>
  </si>
  <si>
    <t>10.1.1</t>
  </si>
  <si>
    <t>18.3</t>
  </si>
  <si>
    <t>8.1</t>
  </si>
  <si>
    <t>TOTAL 4 : MENUISERIE ALUMINIUM</t>
  </si>
  <si>
    <t>20.1</t>
  </si>
  <si>
    <t>TOTAL 18 : PEINTURE</t>
  </si>
  <si>
    <t>12.1</t>
  </si>
  <si>
    <t>12.1.1</t>
  </si>
  <si>
    <t>PLACARDS</t>
  </si>
  <si>
    <t>4.1</t>
  </si>
  <si>
    <t>4.1.2</t>
  </si>
  <si>
    <t>3.1</t>
  </si>
  <si>
    <t>ens.</t>
  </si>
  <si>
    <t>20.1.1</t>
  </si>
  <si>
    <t>18.1.1</t>
  </si>
  <si>
    <t>18.1.2</t>
  </si>
  <si>
    <t>18.1.3</t>
  </si>
  <si>
    <t>18.2.1</t>
  </si>
  <si>
    <t>18.2.2</t>
  </si>
  <si>
    <t>18.3.1</t>
  </si>
  <si>
    <t>18.3.2</t>
  </si>
  <si>
    <t>18.3.3</t>
  </si>
  <si>
    <t>17.1</t>
  </si>
  <si>
    <t>17.1.1</t>
  </si>
  <si>
    <t>17.2</t>
  </si>
  <si>
    <t>17.2.1</t>
  </si>
  <si>
    <t>16.2.1</t>
  </si>
  <si>
    <t>14.1</t>
  </si>
  <si>
    <t>14.1.1</t>
  </si>
  <si>
    <t>10.2.1</t>
  </si>
  <si>
    <t>10.2.2</t>
  </si>
  <si>
    <t>10.2.3</t>
  </si>
  <si>
    <t>10.2.4</t>
  </si>
  <si>
    <t>8.1.1</t>
  </si>
  <si>
    <t>ALIMENTATION EN EAU</t>
  </si>
  <si>
    <t>7.2.1</t>
  </si>
  <si>
    <t>7.3.1</t>
  </si>
  <si>
    <t>6.2</t>
  </si>
  <si>
    <t>6.2.1</t>
  </si>
  <si>
    <t>4.1.1</t>
  </si>
  <si>
    <t>3.1.1</t>
  </si>
  <si>
    <t>QTE</t>
  </si>
  <si>
    <t>kg</t>
  </si>
  <si>
    <t>2.1.1.2</t>
  </si>
  <si>
    <t>2.1.1.3</t>
  </si>
  <si>
    <t>10.3.1</t>
  </si>
  <si>
    <t>GENERALITES</t>
  </si>
  <si>
    <t>10.3.2</t>
  </si>
  <si>
    <t>10.3.3</t>
  </si>
  <si>
    <t>10.4.1</t>
  </si>
  <si>
    <t>10.4.2</t>
  </si>
  <si>
    <t>13.1</t>
  </si>
  <si>
    <t>13.1.1</t>
  </si>
  <si>
    <t>LOT N°0 : GENERALITES</t>
  </si>
  <si>
    <t>0.1</t>
  </si>
  <si>
    <t>0.1.1</t>
  </si>
  <si>
    <t>0.1.2</t>
  </si>
  <si>
    <t>Implantation de l'ouvrage</t>
  </si>
  <si>
    <t>LOT N°1 : TERRASSEMENTS</t>
  </si>
  <si>
    <t>1.1</t>
  </si>
  <si>
    <t>1.1.1</t>
  </si>
  <si>
    <t>LOT N°2 : GROS OEUVRE</t>
  </si>
  <si>
    <t>P.U</t>
  </si>
  <si>
    <t>1.2</t>
  </si>
  <si>
    <t>Fouilles en tranchées et en rigoles</t>
  </si>
  <si>
    <t>Remblais de fouilles</t>
  </si>
  <si>
    <t xml:space="preserve">Nivellement définitif sous dallage </t>
  </si>
  <si>
    <t>1.2.1</t>
  </si>
  <si>
    <t>FOUILLES DE FONDATIONS</t>
  </si>
  <si>
    <t>REMBLAIS DE FOUILLES ET SOUBASSEMENT</t>
  </si>
  <si>
    <t>Remblais de sable de soubassement</t>
  </si>
  <si>
    <t>OUVRAGES EN INFRASTRUCTURE</t>
  </si>
  <si>
    <t>Béton de propreté dosé à 150 kg/m3</t>
  </si>
  <si>
    <t>2.1.2.1</t>
  </si>
  <si>
    <t>2.1.2.2</t>
  </si>
  <si>
    <t>Kg</t>
  </si>
  <si>
    <t>Coffrage bois</t>
  </si>
  <si>
    <t>m²</t>
  </si>
  <si>
    <t>2.1.3</t>
  </si>
  <si>
    <t xml:space="preserve">Semelles filantes en BA </t>
  </si>
  <si>
    <t>2.1.3.1</t>
  </si>
  <si>
    <t>2.1.3.2</t>
  </si>
  <si>
    <t>2.1.3.3</t>
  </si>
  <si>
    <t>2.1.4</t>
  </si>
  <si>
    <t>2.1.4.1</t>
  </si>
  <si>
    <t>2.1.5</t>
  </si>
  <si>
    <t>2.1.5.1</t>
  </si>
  <si>
    <t>2.1.5.2</t>
  </si>
  <si>
    <t>2.1.5.3</t>
  </si>
  <si>
    <t xml:space="preserve">m² </t>
  </si>
  <si>
    <t>2.1.6</t>
  </si>
  <si>
    <t>Mur de soubassement</t>
  </si>
  <si>
    <t>2.1.6.1</t>
  </si>
  <si>
    <t>Film polyane sous dallage</t>
  </si>
  <si>
    <t>2.0</t>
  </si>
  <si>
    <r>
      <t>m</t>
    </r>
    <r>
      <rPr>
        <vertAlign val="superscript"/>
        <sz val="9"/>
        <color indexed="8"/>
        <rFont val="Calibri"/>
        <family val="2"/>
      </rPr>
      <t>3</t>
    </r>
  </si>
  <si>
    <t>Béton dosé à 350 kg/m3</t>
  </si>
  <si>
    <t xml:space="preserve">Agglomérés pleins de 15 </t>
  </si>
  <si>
    <t>Dallage en Béton Armé</t>
  </si>
  <si>
    <t>Béton de forme d'épaisseur 13 cm y/c armatures</t>
  </si>
  <si>
    <t>Chaînage bas en Béton Armé</t>
  </si>
  <si>
    <t>0.0</t>
  </si>
  <si>
    <t>1.0</t>
  </si>
  <si>
    <t>Elaboration des plans d'exécution</t>
  </si>
  <si>
    <t xml:space="preserve">SOUS TOTAL 2.1 </t>
  </si>
  <si>
    <t>2.2.1.1</t>
  </si>
  <si>
    <t>2.2.1.2</t>
  </si>
  <si>
    <t>2.2.1.3</t>
  </si>
  <si>
    <t>2.2.2.1</t>
  </si>
  <si>
    <t>2.2.2.2</t>
  </si>
  <si>
    <t>2.2.2.3</t>
  </si>
  <si>
    <t>2.2.3.1</t>
  </si>
  <si>
    <t>2.2.3.2</t>
  </si>
  <si>
    <t>2.2.3.3</t>
  </si>
  <si>
    <t>2.2.4</t>
  </si>
  <si>
    <t>2.2.4.1</t>
  </si>
  <si>
    <t>2.2.4.2</t>
  </si>
  <si>
    <t>2.2.5</t>
  </si>
  <si>
    <t>2.2.5.1</t>
  </si>
  <si>
    <t>2.2.5.2</t>
  </si>
  <si>
    <t>2.2.6</t>
  </si>
  <si>
    <t>2.2.6.1</t>
  </si>
  <si>
    <t>Maçonnerie</t>
  </si>
  <si>
    <t>Agglos creux de 15 pour mur en élévation</t>
  </si>
  <si>
    <t xml:space="preserve">Agglos creux de 10 pour mur en élévation </t>
  </si>
  <si>
    <t xml:space="preserve">OUVRAGES EN SUPERSTRUCTURE </t>
  </si>
  <si>
    <t xml:space="preserve">Poteaux et raidisseurs en BA  </t>
  </si>
  <si>
    <t>Linteaux et chaînages hauts en Béton Armé</t>
  </si>
  <si>
    <t>2.2.5.3</t>
  </si>
  <si>
    <t>Divers</t>
  </si>
  <si>
    <t>Socles de placards</t>
  </si>
  <si>
    <t xml:space="preserve">Enduits sur murs </t>
  </si>
  <si>
    <t>Enduit ciment sur murs intérieurs</t>
  </si>
  <si>
    <t>SOUS TOTAL 2.2</t>
  </si>
  <si>
    <t>3.0</t>
  </si>
  <si>
    <t>LOT N°3 : ETANCHEITE</t>
  </si>
  <si>
    <t>3.1.2</t>
  </si>
  <si>
    <t>Chape ciment</t>
  </si>
  <si>
    <t xml:space="preserve">Chape de forme d'épaisseur 10 cm </t>
  </si>
  <si>
    <t>Etanchéité de type monocouche système adhérent de chez SIPLAST, AXTER ou équivalent en partie courante</t>
  </si>
  <si>
    <t>5.0</t>
  </si>
  <si>
    <t>6.0</t>
  </si>
  <si>
    <t>LOT N°6 : SERRURERIE</t>
  </si>
  <si>
    <t>GRILLE DE PROTECTION SUR FENETRES</t>
  </si>
  <si>
    <t>5.1</t>
  </si>
  <si>
    <t>5.1.1</t>
  </si>
  <si>
    <t xml:space="preserve">LAMES NACO </t>
  </si>
  <si>
    <t>TOTAL LOT N°0 : GENERALITES</t>
  </si>
  <si>
    <t>TOTAL LOT N°1 : TERRASSEMENTS</t>
  </si>
  <si>
    <t xml:space="preserve">TOTAL LOT N°2 : GROS ŒUVRE </t>
  </si>
  <si>
    <t xml:space="preserve">TOTAL LOT N°3 : ETANCHEITE </t>
  </si>
  <si>
    <t>TOTAL LOT N°6 : SERRURERIE</t>
  </si>
  <si>
    <t>TOTAL LOT N°5 : VITRAGE</t>
  </si>
  <si>
    <t>7.0</t>
  </si>
  <si>
    <t>LOT N°7 : PLOMBERIE SANITAIRE</t>
  </si>
  <si>
    <t>F/P Tube PVC Pression Ø 21 x 25 mm</t>
  </si>
  <si>
    <t>EVACUATION EU-EV</t>
  </si>
  <si>
    <t>Tube PVC Pression et Grillage avertisseur</t>
  </si>
  <si>
    <t>Distribution Eau Froide</t>
  </si>
  <si>
    <t>7.1.1.1</t>
  </si>
  <si>
    <t>7.1.1.2</t>
  </si>
  <si>
    <t>7.1.2</t>
  </si>
  <si>
    <t>7.1.2.1</t>
  </si>
  <si>
    <t>Tube PVC Evacuation</t>
  </si>
  <si>
    <t>F/P Tube PVC Evacuation Ø 33,6 x 40 mm</t>
  </si>
  <si>
    <t>F/P Tube PVC Evacuation Ø 103,6 x 110 mm</t>
  </si>
  <si>
    <t>7.2.1.1</t>
  </si>
  <si>
    <t>7.2.1.2</t>
  </si>
  <si>
    <t>ROBINETTERIE</t>
  </si>
  <si>
    <t xml:space="preserve">Vanne d'arrêt </t>
  </si>
  <si>
    <t>EQUIPEMENTS SANITAIRES</t>
  </si>
  <si>
    <t>Appareils sanitaires 1er choix</t>
  </si>
  <si>
    <t>Dévidoir de papier</t>
  </si>
  <si>
    <t>7.3.1.1</t>
  </si>
  <si>
    <t>7.4</t>
  </si>
  <si>
    <t>7.4.1</t>
  </si>
  <si>
    <t>7.4.1.1</t>
  </si>
  <si>
    <t>7.4.1.2</t>
  </si>
  <si>
    <t>7.5.1</t>
  </si>
  <si>
    <t>Accessoires</t>
  </si>
  <si>
    <t>7.5.1.1</t>
  </si>
  <si>
    <t>7.5.1.2</t>
  </si>
  <si>
    <t>7.5.1.3</t>
  </si>
  <si>
    <t>TOTAL LOT N°7 : PLOMBERIE SANITAIRE</t>
  </si>
  <si>
    <t>8.0</t>
  </si>
  <si>
    <t>LOT N°8 : ASSAINISSEMENT</t>
  </si>
  <si>
    <t>CANALISATION</t>
  </si>
  <si>
    <t>Tuyau en PVC série EU/EV</t>
  </si>
  <si>
    <t>Dimensions 40 x 40 x 50</t>
  </si>
  <si>
    <t>TOTAL LOT N°8 : ASSAINISSEMENT</t>
  </si>
  <si>
    <t>DIVERS</t>
  </si>
  <si>
    <t>Regards de visite maçonné en agglomérés pleins de 15</t>
  </si>
  <si>
    <t>Fosse septique maçonnée en agglomérés pleins de 15</t>
  </si>
  <si>
    <t>Fosse septique pour 15 usagers</t>
  </si>
  <si>
    <t>Puits perdu maçonné en agglomérés pleins de 15</t>
  </si>
  <si>
    <t>Puits perdu pour 11 à 20 usagers</t>
  </si>
  <si>
    <t>F/P PPR Ø 20 y/c coudes, tés et accessoires de raccordement</t>
  </si>
  <si>
    <t>F/P vanne d'arrêt Ø 20 x 27</t>
  </si>
  <si>
    <t>F/P Grillage avertisseur de couleur bleue sur réseau d'alimentation</t>
  </si>
  <si>
    <t>Tuyau PVC Ø 125</t>
  </si>
  <si>
    <t>8.1.1.1</t>
  </si>
  <si>
    <t>8.2.1.1</t>
  </si>
  <si>
    <t>8.2.1.2</t>
  </si>
  <si>
    <t>8.2.2</t>
  </si>
  <si>
    <t>8.2.2.1</t>
  </si>
  <si>
    <t>8.2.3</t>
  </si>
  <si>
    <t>8.2.3.1</t>
  </si>
  <si>
    <t>10.0</t>
  </si>
  <si>
    <t>LOT N°10 : ELECTRICITE</t>
  </si>
  <si>
    <t>ALIMENTATION PRINCIPALE</t>
  </si>
  <si>
    <t xml:space="preserve">F/P grillage avertisseur </t>
  </si>
  <si>
    <t>Raccordement électrique et grillage avertisseur</t>
  </si>
  <si>
    <t>Mise à la terre et liaisons équipotentielles</t>
  </si>
  <si>
    <t>Tableau de distribution</t>
  </si>
  <si>
    <t>F/P câble U 500 VGV 3 x 1,5 mm2</t>
  </si>
  <si>
    <t xml:space="preserve">Câblages électriques </t>
  </si>
  <si>
    <t>10.1.1.1</t>
  </si>
  <si>
    <t>10.1.1.2</t>
  </si>
  <si>
    <t>10.2.1.1</t>
  </si>
  <si>
    <t>10.2.1.2</t>
  </si>
  <si>
    <t>10.2.1.3</t>
  </si>
  <si>
    <t>DISTRIBUTION INTERIEURE</t>
  </si>
  <si>
    <t>Mise en œuvre de liaisons équipotentielles sur raccords métalliques</t>
  </si>
  <si>
    <t>Frais de contrôle SECUREL</t>
  </si>
  <si>
    <t>10.1.2</t>
  </si>
  <si>
    <t>10.1.3</t>
  </si>
  <si>
    <t>APPAREILLAGES</t>
  </si>
  <si>
    <t>F/P Prise de courant 10/16 A 2P + T</t>
  </si>
  <si>
    <t>Prises de courant</t>
  </si>
  <si>
    <t>Interrupteurs</t>
  </si>
  <si>
    <t>F/P Interrupteur S.A</t>
  </si>
  <si>
    <t>F/P Interrupteur D.A</t>
  </si>
  <si>
    <t>F/P Prise de courant 10/16 A 2P + T étanche</t>
  </si>
  <si>
    <t>Appareils d'éclairage</t>
  </si>
  <si>
    <t>F/P Réglette fluo-mono nue 1,20 m</t>
  </si>
  <si>
    <t xml:space="preserve">F/P Réglette fluo-mono étanche 1,20 m  </t>
  </si>
  <si>
    <t xml:space="preserve">F/P Réglette fluo-mono 0,60 m </t>
  </si>
  <si>
    <t>F/P Hublot étanche</t>
  </si>
  <si>
    <t>Mise à la terre par câble cuivre nu 29 mm2 y/c raccords bimétalliques et barrette de coupure</t>
  </si>
  <si>
    <t>10.1.3.1</t>
  </si>
  <si>
    <t>10.3.1.1</t>
  </si>
  <si>
    <t>10.3.1.2</t>
  </si>
  <si>
    <t>10.3.2.1</t>
  </si>
  <si>
    <t>10.3.2.2</t>
  </si>
  <si>
    <t>10.3.2.3</t>
  </si>
  <si>
    <t>10.3.3.1</t>
  </si>
  <si>
    <t>10.3.3.2</t>
  </si>
  <si>
    <t>10.3.3.3</t>
  </si>
  <si>
    <t>10.3.3.4</t>
  </si>
  <si>
    <t>TOTAL LOT N°10 : ELECTRICITE</t>
  </si>
  <si>
    <t>11.0</t>
  </si>
  <si>
    <t>LOT N°11 : SECURITE INCENDIE</t>
  </si>
  <si>
    <t>11.1</t>
  </si>
  <si>
    <t>INSTALLATION D'APPAREILS DE LUTTE</t>
  </si>
  <si>
    <t>11.1.1</t>
  </si>
  <si>
    <t>Appareils d'extinction</t>
  </si>
  <si>
    <t>11.1.1.1</t>
  </si>
  <si>
    <t>11.1.1.2</t>
  </si>
  <si>
    <t>Signalisation de sécurité</t>
  </si>
  <si>
    <t>F/P Extincteur à eau pulvérisée 9 L</t>
  </si>
  <si>
    <t>F/P Extincteur type ABC 6 kg</t>
  </si>
  <si>
    <t>F/P Etiquette de signalisation</t>
  </si>
  <si>
    <t>F/P Pancarte de consignes</t>
  </si>
  <si>
    <t>11.1.2</t>
  </si>
  <si>
    <t>11.1.2.1</t>
  </si>
  <si>
    <t>11.1.2.2</t>
  </si>
  <si>
    <t>TOTAL LOT N°11 : SECURITE INCENDIE</t>
  </si>
  <si>
    <t>12.0</t>
  </si>
  <si>
    <t>LOT N°12 : TELEPHONE</t>
  </si>
  <si>
    <t>Branchement CI TELCOM</t>
  </si>
  <si>
    <t>Frais d'abonnement et d'interconnexion téléphonique</t>
  </si>
  <si>
    <t>12.1.1.1</t>
  </si>
  <si>
    <t>ALIMENTATION TELEPHONIQUE</t>
  </si>
  <si>
    <t>F/P câble téléphonique 4 paires</t>
  </si>
  <si>
    <t>12.2</t>
  </si>
  <si>
    <t>F/P boîtier marina 300 x 200 x 160</t>
  </si>
  <si>
    <t>F/P grillage avertisseur</t>
  </si>
  <si>
    <t>12.2.1</t>
  </si>
  <si>
    <t>12.2.2</t>
  </si>
  <si>
    <t>12.2.3</t>
  </si>
  <si>
    <t>EQUIPEMENTS</t>
  </si>
  <si>
    <t>12.3</t>
  </si>
  <si>
    <t>F/P Prise de téléphone</t>
  </si>
  <si>
    <t>12.3.1</t>
  </si>
  <si>
    <t>TOTAL LOT N°12 : TELEPHONE</t>
  </si>
  <si>
    <t>13.0</t>
  </si>
  <si>
    <t>LOT N°13 : CLIMATISATION</t>
  </si>
  <si>
    <t>TYPE DE CLIMATISATION</t>
  </si>
  <si>
    <t>Split Système</t>
  </si>
  <si>
    <t xml:space="preserve">F/P Split 1,5 CV y/c supports métalliques </t>
  </si>
  <si>
    <t>13.1.1.1</t>
  </si>
  <si>
    <t>TOTAL LOT N°13 : CLIMATISATION</t>
  </si>
  <si>
    <t>14.0</t>
  </si>
  <si>
    <t>LOT N°14 : REVÊTEMENTS DURS</t>
  </si>
  <si>
    <t>REVÊTEMENTS SOLS</t>
  </si>
  <si>
    <t>Grès Cérame</t>
  </si>
  <si>
    <t>F/P Grès Cérame 30 x 30 anti-dérapant type importé</t>
  </si>
  <si>
    <t>F/P Plinthe Grès Cérame ht 8 cm</t>
  </si>
  <si>
    <t>REVÊTEMENTS MURS</t>
  </si>
  <si>
    <t>Faïence</t>
  </si>
  <si>
    <t>14.1.1.1</t>
  </si>
  <si>
    <t>14.1.1.2</t>
  </si>
  <si>
    <t>14.1.1.3</t>
  </si>
  <si>
    <t>14.2</t>
  </si>
  <si>
    <t>14.2.1</t>
  </si>
  <si>
    <t>14.2.1.1</t>
  </si>
  <si>
    <t>TOTAL LOT N°14 : REVÊTEMENTS DURS</t>
  </si>
  <si>
    <t>16.0</t>
  </si>
  <si>
    <t>LOT N°16 : MENUISERIE - QUINCAILLERIE</t>
  </si>
  <si>
    <t>F/P Fenêtre cadre bois F3 60 x 60 y/c mécanisme NACO Type PVC noir et couvre-joints</t>
  </si>
  <si>
    <t>F/P Fenêtre cadre bois F2 100 x 120 y/c mécanisme NACO Type PVC noir et couvre-joints</t>
  </si>
  <si>
    <t>F/P Fenêtre cadre bois F1 120 x 120 y/c mécanisme NACO Type PVC noir et couvre-joints</t>
  </si>
  <si>
    <t>MENUISERIE BOIS</t>
  </si>
  <si>
    <t>Portes Bois</t>
  </si>
  <si>
    <t>16.1.1.1</t>
  </si>
  <si>
    <t>16.1.1.2</t>
  </si>
  <si>
    <t>Fenêtres Bois</t>
  </si>
  <si>
    <t>16.1.2.1</t>
  </si>
  <si>
    <t>16.1.2.2</t>
  </si>
  <si>
    <t>16.1.2.3</t>
  </si>
  <si>
    <t xml:space="preserve">F/P Portes pleines en bois massif PBM 220 x 90 y/c cadres, huisseries, serrures et couvre-joints </t>
  </si>
  <si>
    <t>F/P Portes pleines isoplanes PBI 220 x 80 y/c cadres, huisseries, serrures et couvre-joints</t>
  </si>
  <si>
    <t xml:space="preserve">F/P de devants de placards en CP 20 mm y/c cadre, étagères et quincaillerie </t>
  </si>
  <si>
    <t>6.1.3</t>
  </si>
  <si>
    <t>TOTAL LOT N°16 : MENUISERIE - QUINCAILLERIE</t>
  </si>
  <si>
    <t>17.0</t>
  </si>
  <si>
    <t>LOT N°17 : FAUX PLAFONDS</t>
  </si>
  <si>
    <t>FAUX PLAFOND EN CONTREPLAQUE</t>
  </si>
  <si>
    <t>F/P de Faux Plafond en contreplaqué 10 mm 1er choix y/c ossature</t>
  </si>
  <si>
    <t>TOTAL LOT N°17 : FAUX PLAFONDS</t>
  </si>
  <si>
    <t>18.0</t>
  </si>
  <si>
    <t>LOT N°18 : PEINTURE</t>
  </si>
  <si>
    <t>TRAVAUX PREPARATOIRES</t>
  </si>
  <si>
    <t>Egrenage et brossage de maçonneries neuves</t>
  </si>
  <si>
    <t>Travaux préliminaires</t>
  </si>
  <si>
    <t>18.1.1.1</t>
  </si>
  <si>
    <t>PEINTURE SUR OUVRAGES MACONNES</t>
  </si>
  <si>
    <t>Peinture sur murs intérieurs</t>
  </si>
  <si>
    <t>18.2.1.1</t>
  </si>
  <si>
    <t>18.2.1.2</t>
  </si>
  <si>
    <t>Peinture sur murs extérieurs</t>
  </si>
  <si>
    <t>F/P Peinture acrylique mate</t>
  </si>
  <si>
    <t>F/P Peinture glycérophtalique mate</t>
  </si>
  <si>
    <t>PEINTURE SUR BOIS ET FERRONNERIE</t>
  </si>
  <si>
    <t>FAUX PLAFOND EN LAMES BOIS</t>
  </si>
  <si>
    <t>Peinture acrylique mate</t>
  </si>
  <si>
    <t>Peinture sur grilles de protection</t>
  </si>
  <si>
    <t>Peinture glycérophtalique  mate</t>
  </si>
  <si>
    <t>18.3.1.1</t>
  </si>
  <si>
    <t>18.3.2.1</t>
  </si>
  <si>
    <t>Peinture sur Faux Plafonds et bardages</t>
  </si>
  <si>
    <t>Peinture laquée glycérophtalique mate</t>
  </si>
  <si>
    <t>18.3.3.1</t>
  </si>
  <si>
    <t>TOTAL LOT N°18 : PEINTURE</t>
  </si>
  <si>
    <t>19.0</t>
  </si>
  <si>
    <t>LOT N°19 : CHARPENTE</t>
  </si>
  <si>
    <t>CHARPENTE BOIS</t>
  </si>
  <si>
    <t>Charpente non assemblée</t>
  </si>
  <si>
    <t>19.1</t>
  </si>
  <si>
    <t>19.1.1</t>
  </si>
  <si>
    <t>19.1.1.1</t>
  </si>
  <si>
    <t>19.1.1.2</t>
  </si>
  <si>
    <t>TOTAL LOT N°19 : CHARPENTE</t>
  </si>
  <si>
    <t>20.0</t>
  </si>
  <si>
    <t>20.1.1.1</t>
  </si>
  <si>
    <t>20.1.1.2</t>
  </si>
  <si>
    <t xml:space="preserve">LOT N°20 : COUVERTURE </t>
  </si>
  <si>
    <t>COUVERTURE TÔLES</t>
  </si>
  <si>
    <t>TOTAL LOT N°20 : COUVERTURE</t>
  </si>
  <si>
    <t>MONTANT</t>
  </si>
  <si>
    <r>
      <t>m</t>
    </r>
    <r>
      <rPr>
        <vertAlign val="superscript"/>
        <sz val="9"/>
        <rFont val="Calibri"/>
        <family val="2"/>
      </rPr>
      <t>2</t>
    </r>
  </si>
  <si>
    <r>
      <t>m</t>
    </r>
    <r>
      <rPr>
        <vertAlign val="superscript"/>
        <sz val="9"/>
        <rFont val="Calibri"/>
        <family val="2"/>
      </rPr>
      <t>3</t>
    </r>
  </si>
  <si>
    <t>forf.</t>
  </si>
  <si>
    <t>F/P de bardages en doubles planches de rive en bois rouge de section totale 300 x 3</t>
  </si>
  <si>
    <t xml:space="preserve">Amorces de poteaux en BA </t>
  </si>
  <si>
    <t>1.2.2</t>
  </si>
  <si>
    <t>1.2.3</t>
  </si>
  <si>
    <t>F/P Antivol en fers carrés pleins de 12 GP1 140 x 140</t>
  </si>
  <si>
    <t>F/P Antivol en fers carrés pleins de 12 GP2 120 x 140</t>
  </si>
  <si>
    <t>F/P Antivol en fers carrés pleins de 12 GP3 80 x 80</t>
  </si>
  <si>
    <r>
      <t>F/P câble HFG 1000 5 x 6 mm</t>
    </r>
    <r>
      <rPr>
        <vertAlign val="superscript"/>
        <sz val="9"/>
        <rFont val="Calibri"/>
        <family val="2"/>
      </rPr>
      <t>2</t>
    </r>
  </si>
  <si>
    <t>F/P câble H07V-K 3 x 1,5 mm2 sous tube isorange N°11</t>
  </si>
  <si>
    <t xml:space="preserve">F/P Dismatic </t>
  </si>
  <si>
    <t>F/P de WC à l'anglaise y/c abattant, accessoires de fixation et robinet d'équerre</t>
  </si>
  <si>
    <t xml:space="preserve">F/P Portes pleines en bois massif PBM 220 x 100 y/c cadres, huisseries, serrures et couvre-joints </t>
  </si>
  <si>
    <t>16.1.1.3</t>
  </si>
  <si>
    <t>F/P câble H07V-K 3 x 2,5 mm2 sous tube isorange N°13</t>
  </si>
  <si>
    <t>F/P Faïence 20 x 20 type importé ht=2,20 m</t>
  </si>
  <si>
    <t>Porte-serviette une (1) branche</t>
  </si>
  <si>
    <t>Peinture sur portes, fenêtres et placards</t>
  </si>
  <si>
    <t>F/P de pannes en bois rouge de section 200 x 100 y/c fixation par ferrures de fer à béton scellés</t>
  </si>
  <si>
    <t>F/P de couverture Bac Aluminium épaisseur 6/10è</t>
  </si>
  <si>
    <t>F/P de Faîtière Bac Aluminium épaisseur 6/10è</t>
  </si>
  <si>
    <t>Débroussaillage de l'emprise de l'Abri</t>
  </si>
  <si>
    <t>Décapage de la terre végétale sur 30 cm</t>
  </si>
  <si>
    <t>Evacuation de la terre végétale</t>
  </si>
  <si>
    <t>TOTAL 1 : TERRASSEMENTS</t>
  </si>
  <si>
    <t>TOTAL 3 : ETANCHEITE</t>
  </si>
  <si>
    <t>4.1.3</t>
  </si>
  <si>
    <t xml:space="preserve">Mise en œuvre de la structure métallique de l'abri comprenant poteaux , traverses, ossatures et renforts en profilés métalliques (structure pour cloisonnement, couverture et plancher bas). Dimension intérieure finie de l'abri: (longueur= 590 cm; largeur= 388 cm; hauteur= 239 cm) </t>
  </si>
  <si>
    <t>6.2.3</t>
  </si>
  <si>
    <t>TOTAL 6 : SERRURERIE</t>
  </si>
  <si>
    <t>TOTAL 8 : ASSAINISSEMENT</t>
  </si>
  <si>
    <t>Raccordement électrique par câble  d'alimentation principale HFG 1000 5 x 6 mm² y/c grillage avertisseur et toutes sujétions de pose</t>
  </si>
  <si>
    <t>F/P de coffret de distribution à 8 modules y/c protection de tête (ID, DPN, étiquetage et divers)</t>
  </si>
  <si>
    <t>NB: Toutes les distributions secondaires seront réalisés par câble VGV sous goulottes soigneusement posées.</t>
  </si>
  <si>
    <t>4 points lumineux sur simple allumage pour éclairage extérieur</t>
  </si>
  <si>
    <t>2 points lumineux sur va et vient (Bureau accueil et écoute)</t>
  </si>
  <si>
    <t xml:space="preserve">Alimentation de split </t>
  </si>
  <si>
    <t>Alimentation de prise de courant</t>
  </si>
  <si>
    <t>Exécution d'une mise à la terre par piquet de terre cuivré y/c barrette de coupure et toutes sujétions de raccordement</t>
  </si>
  <si>
    <t>NB: Tous les appareils posés sont de type étanches</t>
  </si>
  <si>
    <t>10.5</t>
  </si>
  <si>
    <t>10.5.1</t>
  </si>
  <si>
    <t>10.5.2</t>
  </si>
  <si>
    <t>Interrupteur VV étanche</t>
  </si>
  <si>
    <t>10.5.3</t>
  </si>
  <si>
    <t>10.5.4</t>
  </si>
  <si>
    <t>PC 10/16A 2P+T étanche</t>
  </si>
  <si>
    <t>15.1</t>
  </si>
  <si>
    <t>Revêtements souples</t>
  </si>
  <si>
    <t>15.1.1</t>
  </si>
  <si>
    <t>Fourniture et pose de revêtement en Thermoplastique  de type GERFLEX 1er choix</t>
  </si>
  <si>
    <t>TOTAL 14 : REVETEMENTS SOUPLES</t>
  </si>
  <si>
    <t>Peinture sur ferronnerie</t>
  </si>
  <si>
    <t>Peinture glycérophtalique sur ferronnerie de l'ensemble de la structure métallique de l'abri et sur antivols</t>
  </si>
  <si>
    <t>18.1.4</t>
  </si>
  <si>
    <t>Dérochage pour baies en aluminium</t>
  </si>
  <si>
    <t>Panneau calligraphique en plexiglas sur abri format 60 x 50</t>
  </si>
  <si>
    <t>SITE D'IMPLANTATION: BRIGADE DE GENDARMERIE DE BLOLEQUIN</t>
  </si>
  <si>
    <t>1.1.3</t>
  </si>
  <si>
    <t>SITE D'IMPLANTATION: COMMISSARIAT DE POLICE DE DANANE</t>
  </si>
  <si>
    <t>Fouilles en tranchées pour passage de câble de raccordement électrique</t>
  </si>
  <si>
    <t>ens</t>
  </si>
  <si>
    <t>Remblais de fouilles par sable sélectionné</t>
  </si>
  <si>
    <t>Nivellement définitif sous dallage</t>
  </si>
  <si>
    <t>2.1.4.2</t>
  </si>
  <si>
    <t>2.1.4.3</t>
  </si>
  <si>
    <t>Becquet en BA sur couverture tôles</t>
  </si>
  <si>
    <t>Enduits ciment</t>
  </si>
  <si>
    <t>Enduits ciment sur murs intérieurs</t>
  </si>
  <si>
    <t>Enduits ciment hydrofuge sur murs extérieurs</t>
  </si>
  <si>
    <t>Etanchéité multicouche SIPLAST, AXTER ou équivalent et toutes sujétions de pose</t>
  </si>
  <si>
    <t>Relevé d'étanchéité SIPLAST, AXTER ou équivalent y/c équerre de renfort et toutes sujétions de pose</t>
  </si>
  <si>
    <t xml:space="preserve">F/P grillage avertisseur rouge </t>
  </si>
  <si>
    <t>18.4</t>
  </si>
  <si>
    <t>18.4.1</t>
  </si>
  <si>
    <t>SITE D'IMPLANTATION: COMMISSARIAT DE POLICE DE TOULEPLEU</t>
  </si>
  <si>
    <r>
      <t>Abattage d'arbres 1,1m &lt;</t>
    </r>
    <r>
      <rPr>
        <sz val="9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Ø &lt; 2,1m</t>
    </r>
  </si>
  <si>
    <r>
      <t>Entrées d'eau Ø</t>
    </r>
    <r>
      <rPr>
        <sz val="8.1"/>
        <rFont val="Calibri"/>
        <family val="2"/>
        <scheme val="minor"/>
      </rPr>
      <t xml:space="preserve"> 40</t>
    </r>
    <r>
      <rPr>
        <sz val="9"/>
        <rFont val="Calibri"/>
        <family val="2"/>
        <scheme val="minor"/>
      </rPr>
      <t xml:space="preserve"> y/c crapaudine</t>
    </r>
  </si>
  <si>
    <t>TRAVAUX DE CONSTRUCTION D'UN BÂTIMENT A USAGE DE BUREAU GENRE</t>
  </si>
  <si>
    <t>SITE D'IMPLANTATION: COMMISSARIAT DE POLICE DE BIANKOUMA</t>
  </si>
  <si>
    <t>SITE D'IMPLANTATION: BRIGADE DE GENDARMERIE DE TAÏ</t>
  </si>
  <si>
    <t>SITE D'IMPLANTATION: BRIGADE DE GENDARMERIE DE TABOU</t>
  </si>
  <si>
    <t>SITE D'IMPLANTATION: BRIGADE DE GENDARMERIE DE SIPILOU</t>
  </si>
  <si>
    <t>SITE D'IMPLANTATION: BRIGADE DE GENDARMERIE DE KOUIBLY</t>
  </si>
  <si>
    <t>SITE D'IMPLANTATION: COMMISSARIAT DE POLICE DU 2è ARRONDISSEMENT DE SAN PEDRO</t>
  </si>
  <si>
    <r>
      <rPr>
        <u/>
        <sz val="11"/>
        <color theme="1"/>
        <rFont val="Calibri"/>
        <family val="2"/>
        <scheme val="minor"/>
      </rPr>
      <t>Date:</t>
    </r>
    <r>
      <rPr>
        <sz val="11"/>
        <color theme="1"/>
        <rFont val="Calibri"/>
        <family val="2"/>
        <scheme val="minor"/>
      </rPr>
      <t xml:space="preserve"> Août 2018</t>
    </r>
  </si>
  <si>
    <r>
      <rPr>
        <u/>
        <sz val="11"/>
        <color theme="1"/>
        <rFont val="Calibri"/>
        <family val="2"/>
        <scheme val="minor"/>
      </rPr>
      <t>Titre du Projet:</t>
    </r>
    <r>
      <rPr>
        <b/>
        <sz val="11"/>
        <color theme="1"/>
        <rFont val="Calibri"/>
        <family val="2"/>
        <scheme val="minor"/>
      </rPr>
      <t xml:space="preserve"> PARR/VSBG</t>
    </r>
  </si>
  <si>
    <t>SITES</t>
  </si>
  <si>
    <t>LOTS</t>
  </si>
  <si>
    <t>LOT A</t>
  </si>
  <si>
    <t>Brigade de Gendarmerie TABOU</t>
  </si>
  <si>
    <t>NATURE DES TRAVAUX</t>
  </si>
  <si>
    <t>Aménagement de locaux en Bureau Genre</t>
  </si>
  <si>
    <t>Total LOT A</t>
  </si>
  <si>
    <t>LOT B</t>
  </si>
  <si>
    <t>Brigade de Gendarmerie BLOLEQUIN</t>
  </si>
  <si>
    <t>Réalisation d'un Abri préfabriqué Bureau Genre</t>
  </si>
  <si>
    <t>Commissariat de police 2è Arrondissement SAN PEDRO</t>
  </si>
  <si>
    <t>Commissariat de police TOULEPLEU</t>
  </si>
  <si>
    <t>Total LOT B</t>
  </si>
  <si>
    <t>Brigade de Gendarmerie ZOUAN HOUNIEN</t>
  </si>
  <si>
    <t>Construction d'un Bâtiment Bureau Genre</t>
  </si>
  <si>
    <t>Commissariat de police DANANE</t>
  </si>
  <si>
    <r>
      <rPr>
        <u/>
        <sz val="11"/>
        <color theme="1"/>
        <rFont val="Calibri"/>
        <family val="2"/>
        <scheme val="minor"/>
      </rPr>
      <t>N° du Projet:</t>
    </r>
    <r>
      <rPr>
        <sz val="11"/>
        <color theme="1"/>
        <rFont val="Calibri"/>
        <family val="2"/>
        <scheme val="minor"/>
      </rPr>
      <t xml:space="preserve"> </t>
    </r>
  </si>
  <si>
    <t>Total LOT C</t>
  </si>
  <si>
    <t>LOT C</t>
  </si>
  <si>
    <t>Brigade de Gendarmerie TAÏ</t>
  </si>
  <si>
    <t>LOT D</t>
  </si>
  <si>
    <t>Brigade de Gendarmerie MAN</t>
  </si>
  <si>
    <t>Brigade de Gendarmerie SANGOUINE</t>
  </si>
  <si>
    <t>Total LOT D</t>
  </si>
  <si>
    <t>LOT E</t>
  </si>
  <si>
    <t>Brigade de Gendarmerie KOUIBLY</t>
  </si>
  <si>
    <t>Total LOT E</t>
  </si>
  <si>
    <t>LOT F</t>
  </si>
  <si>
    <t>Brigade de Gendarmerie SIPILOU</t>
  </si>
  <si>
    <t>Commissariat de police BIANKOUMA</t>
  </si>
  <si>
    <t>Total LOT F</t>
  </si>
  <si>
    <t>LOT G</t>
  </si>
  <si>
    <t>Total LOT G</t>
  </si>
  <si>
    <t>ALLOTISSEMENT DES TRAVAUX DE CONSTRUCTION DE BÂTIMENTS ET DE REALISATION D'ABRIS PREFABRIQUES A USAGES DE BUREAUX GENRE</t>
  </si>
  <si>
    <t>MONTANT TOTAL COMMISSARIATS DE POLICE ET BRIGADES DE GENDARMERIE</t>
  </si>
  <si>
    <t>RECAPITULATIF DES COÛTS ESTIMATIFS DES TRAVAUX DE CONSTRUCTION DE BÂTIMENTS ET DE REALISATION D'ABRIS PREFABRIQUES A USAGES DE BUREAUX GENRE</t>
  </si>
  <si>
    <t>SITE D'IMPLANTATION: BRIGADE DE GENDARMERIE DE MAN</t>
  </si>
  <si>
    <t>Couverture en Bac Aluminium</t>
  </si>
  <si>
    <t>SITE D'IMPLANTATION: BRIGADE DE GENDARMERIE DE SANGOUINE</t>
  </si>
  <si>
    <t>PREPARATION DU TERRAIN</t>
  </si>
  <si>
    <t>Abattage d'arbres 1,1m &lt;Ø &lt; 2m</t>
  </si>
  <si>
    <t>Abattage d'arbres Ø &gt; 2,1m</t>
  </si>
  <si>
    <t>1.1.2</t>
  </si>
  <si>
    <t>Débroussaillage</t>
  </si>
  <si>
    <t>1.1.4</t>
  </si>
  <si>
    <t>1.3</t>
  </si>
  <si>
    <t>1.3.1</t>
  </si>
  <si>
    <t>1.3.2</t>
  </si>
  <si>
    <t>1.3.3</t>
  </si>
  <si>
    <t>TRAVAUX DE CONSTRUCTION D'UN BÂTIMENT A USAGE DE GENDER DESK</t>
  </si>
  <si>
    <t>SITE D'IMPLANTATION: BRIGADE DE GENDARMERIE DE ZOUAN HOUNIEN</t>
  </si>
  <si>
    <t>DEMOLITIONS</t>
  </si>
  <si>
    <t>0.2</t>
  </si>
  <si>
    <t>0.2.1</t>
  </si>
  <si>
    <t>0.2.2</t>
  </si>
  <si>
    <t>DEPOSES</t>
  </si>
  <si>
    <t>Dépose de carrelage existant</t>
  </si>
  <si>
    <t>Démolition de dallage sur son épaisseur</t>
  </si>
  <si>
    <t>Démolition d'agglomérés creux de 15</t>
  </si>
  <si>
    <t>Béton de forme d'épaisseur comme à l'existant y/c armatures</t>
  </si>
  <si>
    <t>0.2.3</t>
  </si>
  <si>
    <t>Décapage d'enduit des murs existants ht 1,00 m</t>
  </si>
  <si>
    <t>Révision du coffret existant y/c protections de tête et protections de circuits par DPN</t>
  </si>
  <si>
    <t>F/P Réglette fluo-duo nue 1,20 m</t>
  </si>
  <si>
    <t>Dépose de la réglette fluo-mono 1,20 existant</t>
  </si>
  <si>
    <t>F/P Grès Cérame 30 x 30 type importé</t>
  </si>
  <si>
    <t>Dépose de plinthe existant</t>
  </si>
  <si>
    <t xml:space="preserve">F/P Portes pleines en bois massif PBM 215 x 90 y/c cadres, huisseries, serrures et couvre-joints </t>
  </si>
  <si>
    <t>18.2.2.1</t>
  </si>
  <si>
    <t>AMENAGEMENT DE LOCAL A USAGE DE GENDER DESK</t>
  </si>
  <si>
    <t xml:space="preserve">RECAPITULATIF PAR LOTS DES TRAVAUX D'AMENAGEMENT DE LOCAL A USAGE DE GENDER DESK DU COMMISSARIAT DE POLICE DU 2è ARRONDISSEMENT DE SAN PEDRO </t>
  </si>
  <si>
    <t>F/P de bande de désolidarisation en polystèrene expansé ép 2 cm ld=15 cm</t>
  </si>
  <si>
    <t>Enduit ciment hydrofuge sur murs intérieurs</t>
  </si>
  <si>
    <t>Raccords enduit ciment hydrofuge sur porte et murs</t>
  </si>
  <si>
    <t>LOT N°1: TERRASSEMENTS</t>
  </si>
  <si>
    <t xml:space="preserve">FOUILLES </t>
  </si>
  <si>
    <t>REMBLAIS DE FOUILLES</t>
  </si>
  <si>
    <t xml:space="preserve">LOT N°2: GROS ŒUVRE </t>
  </si>
  <si>
    <t>INFRASTRUCTURE</t>
  </si>
  <si>
    <t>Aciers HA</t>
  </si>
  <si>
    <t>Coffrage</t>
  </si>
  <si>
    <t xml:space="preserve">Aciers HA Fe E 400 </t>
  </si>
  <si>
    <t>Dallage en béton armé</t>
  </si>
  <si>
    <t>Béton de forme ép 13 cm y/c armatures</t>
  </si>
  <si>
    <t>Aciers HA Fe E 400</t>
  </si>
  <si>
    <t>SUPERSTRUCTURE</t>
  </si>
  <si>
    <t>Poteaux et raidisseurs</t>
  </si>
  <si>
    <t>Linteaux et Chaînage haut en BA</t>
  </si>
  <si>
    <t>Agglomérés creux de 15 pour murs en élévation</t>
  </si>
  <si>
    <t>LOT N°3: ETANCHEITE</t>
  </si>
  <si>
    <t>ETANCHEITE SUR SUPPORT METALLIQUE</t>
  </si>
  <si>
    <t>GRILLES DE PROTECTION SUR FENETRES</t>
  </si>
  <si>
    <r>
      <t>F/P câble HFG 1000 5 x 6 mm</t>
    </r>
    <r>
      <rPr>
        <vertAlign val="superscript"/>
        <sz val="9"/>
        <color theme="1"/>
        <rFont val="Calibri"/>
        <family val="2"/>
      </rPr>
      <t>2</t>
    </r>
  </si>
  <si>
    <t xml:space="preserve">Mise à la terre par piquet de terre cuivré y/c barrette de coupure </t>
  </si>
  <si>
    <t>F/P Interrupteur VV</t>
  </si>
  <si>
    <t xml:space="preserve">F/P Réglette fluo-mono étanche 1,20 m </t>
  </si>
  <si>
    <t xml:space="preserve">F/P Réglette fluo-mono 1,20 m  </t>
  </si>
  <si>
    <t xml:space="preserve">F/P Prise de courant 10/16 A 2P + T </t>
  </si>
  <si>
    <t>LOT N°14 : REVETEMENTS DURS</t>
  </si>
  <si>
    <t>REVETEMENTS SOLS</t>
  </si>
  <si>
    <t xml:space="preserve">F/P Portes pleines en bois massif PBM1 220 x 90 y/c cadres, huisseries, serrures et couvre-joints </t>
  </si>
  <si>
    <t xml:space="preserve">Peinture anticorrosion </t>
  </si>
  <si>
    <t>18.3.3.2</t>
  </si>
  <si>
    <t xml:space="preserve">TOTAL GENERAL HT </t>
  </si>
  <si>
    <t>RECAPITULATIF PAR LOTS DES TRAVAUX D'AMENAGEMENT DE LOCAL A USAGE DE GENDER DESK DU COMMISSARIAT DE POLICE DE DANANE</t>
  </si>
  <si>
    <t>Démolition d'agglomérés pleins de 15</t>
  </si>
  <si>
    <t xml:space="preserve">Renfort de Fondations </t>
  </si>
  <si>
    <t>10.1.2.1</t>
  </si>
  <si>
    <t>TRAVAUX DE REALISATION D'UN ABRI PREFABRIQUE A USAGE DE GENDER DESK</t>
  </si>
  <si>
    <t>Fouilles en excavation</t>
  </si>
  <si>
    <t xml:space="preserve">REMBLAIS DE FOUILLES </t>
  </si>
  <si>
    <t>LOT N°2: GROS ŒUVRE</t>
  </si>
  <si>
    <t xml:space="preserve">Semelles de fondations </t>
  </si>
  <si>
    <t>Etanchéité multicouche SIPLAST, AXTER ou équivalent</t>
  </si>
  <si>
    <t>4.0</t>
  </si>
  <si>
    <t>LOT N°4: MENUISERIE ALUMINIUM</t>
  </si>
  <si>
    <t>LOT N°6: SERRURERIE</t>
  </si>
  <si>
    <t>CHÂSSIS ALUMINIUM VITRE</t>
  </si>
  <si>
    <t>Porte Aluminium ouvrant à la française y/c vitrage teinté 5 mm dim: 90 x 215 y/c quincaillerie</t>
  </si>
  <si>
    <t>Porte Aluminium ouvrant à la française y/c vitrage clair 5 mm dim: 80 x 215 y/c quincaillerie</t>
  </si>
  <si>
    <t>Fenêtre aluminium coulissante y compris vitrage teinté 5 mm dim: 120 x 120 y/c quincaillerie</t>
  </si>
  <si>
    <t>STRUCTRURE METALLIQUE DE L'ABRI</t>
  </si>
  <si>
    <t>F/P GRILLE DE PROTECTION (ANTIVOLS)</t>
  </si>
  <si>
    <t>Grille de protection en fer carré plein de 12 x 12 sur fenêtres dim: 120 x 120</t>
  </si>
  <si>
    <t>Fourniture et pose d'éléments  en panneaux sandwich, faces métalliques, âme isolante en polyuréthane ép= 4 cm ou polystyrène extrudé; ép= 5 cm</t>
  </si>
  <si>
    <t>DEP Ø 40 pour évacuation des eaux de pluie</t>
  </si>
  <si>
    <t>LOT N°8: ASSAINISSEMENT</t>
  </si>
  <si>
    <t>Réglette mono étanche 36 w de 0,60 m</t>
  </si>
  <si>
    <t>Dismatic</t>
  </si>
  <si>
    <t>15.0</t>
  </si>
  <si>
    <t>LOT N°15 : REVÊTEMENTS SOUPLES</t>
  </si>
  <si>
    <t>Panneaux de remplissage en double (2) CP de 20 mm y/c traitement fongicide, anticryptogamique et toutes sujétions de pose</t>
  </si>
  <si>
    <t>TOTAL 19 : CHARPENTE</t>
  </si>
  <si>
    <t>PLANCHER BAS EN CONTREPLAQUE DE 20</t>
  </si>
  <si>
    <t xml:space="preserve">LOT N°19 : CHARPENTE </t>
  </si>
  <si>
    <t>CHARPENTE METALLIQUE SUPPORT DE LA COUVERTURE TÔLES</t>
  </si>
  <si>
    <t>F/P éléments ferreux de cornières, tubes carrés formant ossature et contreventements y/c assemblages par soudures et boulonnerie</t>
  </si>
  <si>
    <t>19.2</t>
  </si>
  <si>
    <t>19.2.2</t>
  </si>
  <si>
    <t>LOT N°18: PEINTURE</t>
  </si>
  <si>
    <t>F/P Poteaux en fers tubes ronds de 20, ht mini=3,50 m scellés dans le béton de fondations</t>
  </si>
  <si>
    <t>19.2.1</t>
  </si>
  <si>
    <t>Peinture fongicide sur double Contreplaqué de 20 du plancher bas de l'ensemble de la structure métallique de l'abri après traitement anticryptogamique</t>
  </si>
  <si>
    <t xml:space="preserve">Peinture anticorrosion 3 couches sur antivols et poteaux ronds </t>
  </si>
  <si>
    <t>LOT N°10: ELECTRICITE</t>
  </si>
  <si>
    <t>MISE A LA TERRE ET LIAISONS EQUIPOTENTIELLES</t>
  </si>
  <si>
    <t>APPAREILS</t>
  </si>
  <si>
    <t>Interrupteur DA étanche</t>
  </si>
  <si>
    <t>Réglette fluo mono 36 w de 1,20 m</t>
  </si>
  <si>
    <t>LOT N°4 : MENUISERIE ALUMINIUM</t>
  </si>
  <si>
    <t>RECAPITULATIF PAR LOTS DES TRAVAUX DE REALISATION D'UN ABRI PREFABRIQUE A USAGE DE GENDER DESK DE LA BRIGADE DE GENDARMERIE DE BLOLEQUIN</t>
  </si>
  <si>
    <t>Décapage de la terre végétale y/c évacuation</t>
  </si>
  <si>
    <t>REVÊTEMENTS SOUPLES</t>
  </si>
  <si>
    <t>PEINTURE SUR FERRONNERIE</t>
  </si>
  <si>
    <t>TUYAU PVC PRESSION</t>
  </si>
  <si>
    <t>LOT N°5 : VITRERIE</t>
  </si>
  <si>
    <t>Acier HA Fe E400</t>
  </si>
  <si>
    <t>Aciers HA Fe E400</t>
  </si>
  <si>
    <t>Ouvrages de support, marches d'escaliers et rampes</t>
  </si>
  <si>
    <t>2.1.6.2</t>
  </si>
  <si>
    <t>2.1.2.3</t>
  </si>
  <si>
    <t>Chape hydrofuge de forme d'épaisseur 10 cm</t>
  </si>
  <si>
    <t>Escaliers et rampes en Béton Armé</t>
  </si>
  <si>
    <t xml:space="preserve">Semelles filantes en Béton Armé </t>
  </si>
  <si>
    <t xml:space="preserve">Amorces de poteaux en Béton Armé </t>
  </si>
  <si>
    <t xml:space="preserve">Poteaux et raidisseurs en Béton Armé  </t>
  </si>
  <si>
    <t>Murs de Maçonnerie en élévation</t>
  </si>
  <si>
    <t>Dévidoir de papier plastique</t>
  </si>
  <si>
    <t>Porte-serviette une (1) branche plastique</t>
  </si>
  <si>
    <t>F/P Coffret 12 modules y/c protections de tête et protections de circuits par DPN</t>
  </si>
  <si>
    <t xml:space="preserve">F/P Grès Cérame 30 x 30 type importé </t>
  </si>
  <si>
    <t>F/P de Faux Plafond en lambris de bois rouge y/c ossature</t>
  </si>
  <si>
    <t xml:space="preserve">Enduit ciment hydrofuge sur murs extérieurs </t>
  </si>
  <si>
    <t>F/P Lame NACO en verre clair épaisseur 5 mm ht 15 cm</t>
  </si>
  <si>
    <t>F/P Lame NACO en verre clair épaisseur 5 mm</t>
  </si>
  <si>
    <t>F/P de Grès cérame 30 x 30 de type importé</t>
  </si>
  <si>
    <t>0.1.3</t>
  </si>
  <si>
    <t>0.2.4</t>
  </si>
  <si>
    <t>Dépose châssis NACO existante</t>
  </si>
  <si>
    <t>F/P Mécanisme NACO Type PVC noir et couvre-joints</t>
  </si>
  <si>
    <t>Peinture sur portes et fenêtres</t>
  </si>
  <si>
    <t>18.3.2.2</t>
  </si>
  <si>
    <t>F/P Peinture glycérophtalique  mate</t>
  </si>
  <si>
    <t>F/P Peinture laquée glycérophtalique mate</t>
  </si>
  <si>
    <t>F/P Peinture anticorrosion</t>
  </si>
  <si>
    <t>F/P peinture anticorrosion</t>
  </si>
  <si>
    <t xml:space="preserve">TOTAL LOT N°1 : TERRASSEMENTS  </t>
  </si>
  <si>
    <t>Dérochage pour montant baies en aluminium</t>
  </si>
  <si>
    <t>TOTAL GENERAL HT GENDER DESK</t>
  </si>
  <si>
    <t>RECAPITULATIF PAR LOTS DES TRAVAUX DE REALISATION D'UN ABRI PREFABRIQUE A USAGE DE GENDER DESK AU COMMISSARIAT DE POLICE DE TOULEPLEU</t>
  </si>
  <si>
    <t>F/P PANNEAUX SANDWICH</t>
  </si>
  <si>
    <t>2.3</t>
  </si>
  <si>
    <t>2.3.1</t>
  </si>
  <si>
    <t>6.3</t>
  </si>
  <si>
    <t xml:space="preserve">TOTAL LOT N°2 : GROS OEUVRE  </t>
  </si>
  <si>
    <t>TOTAL LOT N°3 : ETANCHEITE</t>
  </si>
  <si>
    <t>TOTAL LOT N°4 : MENUISERIE ALUMINIUM</t>
  </si>
  <si>
    <t xml:space="preserve">RECAPITULATIF PAR LOTS DES TRAVAUX DE CONSTRUCTION D'UN BÂTIMENT A USAGE DE GENDER DESK A LA BRIGADE DE GENDARMERIE DE MAN </t>
  </si>
  <si>
    <t>10.1.2.2</t>
  </si>
  <si>
    <t xml:space="preserve">RECAPITULATIF PAR LOTS DES TRAVAUX DE CONSTRUCTION D'UN BÂTIMENT A USAGE DE GENDER DESK AU COMMISSARIAT DE POLICE DE BIANKOUMA </t>
  </si>
  <si>
    <t>RECAPITULATIF PAR LOTS DES TRAVAUX DE CONSTRUCTION D'UN BÂTIMENT A USAGE DE GENDER DESK A LA BRIGADE DE GENDARMERIE DE TAÏ</t>
  </si>
  <si>
    <t>Enduit hydrofuge avec grillage ht=100 cm sur murs des  toilettes</t>
  </si>
  <si>
    <t>Enduit hydrofuge avec grillage ht=100 cm sur murs des toilettes</t>
  </si>
  <si>
    <t>FAUX PLAFOND EN LAMBRIS BOIS</t>
  </si>
  <si>
    <t xml:space="preserve">Glace de douche rectangulaire 60 x 50 ép. 4 mm </t>
  </si>
  <si>
    <t>RECAPITULATIF PAR LOTS DES TRAVAUX DE CONSTRUCTION D'UN BÂTIMENT A USAGE DE GENDER DESK A LA BRIGADE DE GENDARMERIE DE SANGOUINE</t>
  </si>
  <si>
    <t>F/P de Faux Plafond en lambris bois rouge y/c ossature</t>
  </si>
  <si>
    <t>RECAPITULATIF PAR LOTS DES TRAVAUX DE CONSTRUCTION D'UN BÂTIMENT A USAGE DE GENDER DESK A LA BRIGADE DE GENDARMERIE DE ZOUAN HOUNIEN</t>
  </si>
  <si>
    <t>F/P Split 1,5 CV y/c supports métalliques et évacuation des condensats</t>
  </si>
  <si>
    <t xml:space="preserve">F/P Peinture anticorrosion </t>
  </si>
  <si>
    <t>Panneau calligraphique en plexiglas sur abri format 60 x 50 ép. 2 mm</t>
  </si>
  <si>
    <t>Panneau calligraphique en plexiglas format 60 x 50 ép. 2 mm</t>
  </si>
  <si>
    <t>Panneau calligraphique en plexiglas sur format 60 x 50 ép. 2 mm</t>
  </si>
  <si>
    <t>RECAPITULATIF PAR LOTS DES TRAVAUX DE CONSTRUCTION D'UN BÂTIMENT A USAGE DE GENDER DESK A LA BRIGADE DE GENDARMERIE DE TABOU</t>
  </si>
  <si>
    <t>RECAPITULATIF PAR LOTS DES TRAVAUX DE CONSTRUCTION D'UN BÂTIMENT A USAGE DE GENDER DESK A LA BRIGADE DE GENDARMERIE DE SIPILOU</t>
  </si>
  <si>
    <t>F/P de bardages en doubles planches de rive en bois rouge de section totale 30 x 3</t>
  </si>
  <si>
    <t>Relévé d'étanchéité dito ci-dessus ht=100 cm</t>
  </si>
  <si>
    <t>F/P Split 1,5 CV y/c supports métalliques et évacuation condensats</t>
  </si>
  <si>
    <t>abattage d'arbres 1,1</t>
  </si>
  <si>
    <t>décapage</t>
  </si>
  <si>
    <t>5x 6</t>
  </si>
  <si>
    <t>RECAPITULATIF PAR LOTS DES TRAVAUX DE CONSTRUCTION D'UN BÂTIMENT A USAGE DE GENDER DESK A LA BRIGADE DE GENDARMERIE DE KOUIBLY</t>
  </si>
  <si>
    <t>Dimensions 50 x 50 x 60</t>
  </si>
  <si>
    <t>F/P d'ensemble lavabo 60 x 50 sur colonne y/c robinet et tablette en porcelaine</t>
  </si>
  <si>
    <t>F/P de pannes en bois rouge de section 15 x 10 y/c fixation par ferrures de fer à béton scellés</t>
  </si>
  <si>
    <t>7.5.1.4</t>
  </si>
  <si>
    <t>Siphon de sol 100 x 100</t>
  </si>
  <si>
    <t>7.2.1.3</t>
  </si>
  <si>
    <t>F/P Tube PVC Evacuation Ø 93,6 x 100 mm</t>
  </si>
  <si>
    <t>F/P de pannes en bois rouge de section 15 x 10 y/c fixations par ferrures de fer à béton scellés</t>
  </si>
  <si>
    <t>F/P d'ensemble lavabo 58 x 48 sur colonne y/c robinet et tablette en porcelaine</t>
  </si>
  <si>
    <t>ETANCHEITE DES TOILETTES</t>
  </si>
  <si>
    <t xml:space="preserve">F/P Lame NACO en verre clair épaisseur 5 mm </t>
  </si>
  <si>
    <t>PROGRAMME DES VISITES OBLIGATOIRES RELATIF A L'APPEL D'OFFRES DES TRAVAUX DE CONSTRUCTION DE BÂTIMENTS ET DE REALISATION D'ABRIS PREFABRIQUES A USAGES DE BUREAUX GENRE</t>
  </si>
  <si>
    <t>DATES ET HEURES</t>
  </si>
  <si>
    <t>Lundi 10 septembre 2018 à 9 heures 00 mn - SAN PEDRO</t>
  </si>
  <si>
    <t>Lundi 10 septembre 2018 à 14 heures 00 mn - TABOU</t>
  </si>
  <si>
    <t>Enduits ciment hydrofuge sur ouvrages béton</t>
  </si>
  <si>
    <t>OUVRAGES DIVERS</t>
  </si>
  <si>
    <t>Réceptacle d'eau pluviale en BA dim 15 x15 ép 5 pf: 20cm y/c gravillons pour DEP</t>
  </si>
  <si>
    <t>Réceptacle d'eau pluviale en BA dim 15 x 15 ép. 5 cm pf: 20cm y/c gravillons pour DEP</t>
  </si>
  <si>
    <t>Jeudi 13 septembre 2018 à 10 heures 00 mn - BLOLEQUIN</t>
  </si>
  <si>
    <t>Jeudi 13 septembre 2018 à 14 heures 00 mn - TOULEPLEU</t>
  </si>
  <si>
    <t>Mercredi 12 septembre 2018 à 10 heures 00 mn - TAI</t>
  </si>
  <si>
    <t>Vendredi 14 septembre 2018 à 10 heures 00 mn - ZOUAN HOUNIEN</t>
  </si>
  <si>
    <t>Vendredi 14 septembre 2018 à 14 heures 00 mn - DANANE</t>
  </si>
  <si>
    <t>Samedi 15 septembre 2018 à 10 heures 00 mn - SANGOUINE</t>
  </si>
  <si>
    <t>Samedi 15 septembre 2018 à 14 heures 00 mn - MAN</t>
  </si>
  <si>
    <t>Dimanche 16 septembre 2018 à 14 heures 00 mn - SIPILOU</t>
  </si>
  <si>
    <t>Lundi 17 septembre 2018 à 10 heures 00 mn - BIANKOUMA</t>
  </si>
  <si>
    <t>Mardi 18 septembre 2018 à 10 heures 00 mn - KOUIBLY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</si>
</sst>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b/>
      <u/>
      <sz val="9"/>
      <name val="Calibri"/>
      <family val="2"/>
    </font>
    <font>
      <b/>
      <u/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1"/>
      <name val="Calibri"/>
      <family val="2"/>
    </font>
    <font>
      <b/>
      <sz val="9"/>
      <color theme="1"/>
      <name val="Calibri"/>
      <family val="2"/>
    </font>
    <font>
      <b/>
      <u/>
      <sz val="9"/>
      <color theme="1"/>
      <name val="Calibri"/>
      <family val="2"/>
    </font>
    <font>
      <sz val="9"/>
      <color theme="1"/>
      <name val="Calibri"/>
      <family val="2"/>
    </font>
    <font>
      <vertAlign val="superscript"/>
      <sz val="9"/>
      <color indexed="8"/>
      <name val="Calibri"/>
      <family val="2"/>
    </font>
    <font>
      <sz val="9"/>
      <color rgb="FFFF0000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.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vertAlign val="superscript"/>
      <sz val="9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35">
    <border>
      <left/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/>
      <top/>
      <bottom style="hair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 style="hair">
        <color indexed="64"/>
      </bottom>
      <diagonal/>
    </border>
    <border>
      <left style="thin">
        <color auto="1"/>
      </left>
      <right style="double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auto="1"/>
      </bottom>
      <diagonal/>
    </border>
    <border>
      <left/>
      <right/>
      <top style="hair">
        <color indexed="64"/>
      </top>
      <bottom style="double">
        <color auto="1"/>
      </bottom>
      <diagonal/>
    </border>
    <border>
      <left/>
      <right style="thin">
        <color indexed="64"/>
      </right>
      <top style="hair">
        <color indexed="64"/>
      </top>
      <bottom style="double">
        <color auto="1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auto="1"/>
      </right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12">
    <xf numFmtId="0" fontId="0" fillId="0" borderId="0" xfId="0"/>
    <xf numFmtId="0" fontId="2" fillId="0" borderId="0" xfId="0" applyFont="1"/>
    <xf numFmtId="3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3" fontId="4" fillId="0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3" fontId="7" fillId="0" borderId="13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3" fontId="7" fillId="0" borderId="2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/>
    </xf>
    <xf numFmtId="0" fontId="3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5" fillId="0" borderId="7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9" xfId="0" applyFont="1" applyFill="1" applyBorder="1" applyAlignment="1">
      <alignment horizontal="right"/>
    </xf>
    <xf numFmtId="2" fontId="7" fillId="0" borderId="13" xfId="1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7" fillId="0" borderId="33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right"/>
    </xf>
    <xf numFmtId="3" fontId="7" fillId="0" borderId="9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right" wrapText="1"/>
    </xf>
    <xf numFmtId="3" fontId="4" fillId="0" borderId="52" xfId="0" applyNumberFormat="1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right" wrapText="1"/>
    </xf>
    <xf numFmtId="0" fontId="7" fillId="0" borderId="54" xfId="0" applyFont="1" applyFill="1" applyBorder="1" applyAlignment="1">
      <alignment horizontal="center" wrapText="1"/>
    </xf>
    <xf numFmtId="2" fontId="7" fillId="0" borderId="54" xfId="1" applyNumberFormat="1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/>
    </xf>
    <xf numFmtId="2" fontId="16" fillId="0" borderId="9" xfId="0" applyNumberFormat="1" applyFont="1" applyFill="1" applyBorder="1" applyAlignment="1">
      <alignment horizontal="center" vertical="center" wrapText="1"/>
    </xf>
    <xf numFmtId="3" fontId="16" fillId="0" borderId="9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right" wrapText="1"/>
    </xf>
    <xf numFmtId="0" fontId="15" fillId="0" borderId="5" xfId="0" applyFont="1" applyFill="1" applyBorder="1" applyAlignment="1">
      <alignment horizontal="right" wrapText="1"/>
    </xf>
    <xf numFmtId="0" fontId="14" fillId="0" borderId="5" xfId="0" applyFont="1" applyFill="1" applyBorder="1" applyAlignment="1">
      <alignment horizontal="right" wrapTex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3" fontId="21" fillId="0" borderId="0" xfId="0" applyNumberFormat="1" applyFont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2" fontId="16" fillId="0" borderId="9" xfId="0" applyNumberFormat="1" applyFont="1" applyFill="1" applyBorder="1" applyAlignment="1">
      <alignment horizontal="center" wrapText="1"/>
    </xf>
    <xf numFmtId="3" fontId="16" fillId="0" borderId="9" xfId="0" applyNumberFormat="1" applyFont="1" applyFill="1" applyBorder="1" applyAlignment="1">
      <alignment horizontal="center" wrapText="1"/>
    </xf>
    <xf numFmtId="0" fontId="25" fillId="0" borderId="0" xfId="0" applyFont="1"/>
    <xf numFmtId="0" fontId="21" fillId="0" borderId="0" xfId="0" applyFont="1" applyAlignment="1">
      <alignment horizontal="right"/>
    </xf>
    <xf numFmtId="0" fontId="16" fillId="0" borderId="7" xfId="0" applyFont="1" applyFill="1" applyBorder="1" applyAlignment="1">
      <alignment horizontal="right"/>
    </xf>
    <xf numFmtId="0" fontId="30" fillId="0" borderId="0" xfId="0" applyFont="1"/>
    <xf numFmtId="0" fontId="16" fillId="5" borderId="5" xfId="0" applyFont="1" applyFill="1" applyBorder="1" applyAlignment="1">
      <alignment horizontal="right" vertical="center" wrapText="1"/>
    </xf>
    <xf numFmtId="0" fontId="16" fillId="5" borderId="5" xfId="0" applyFont="1" applyFill="1" applyBorder="1" applyAlignment="1">
      <alignment horizontal="right" wrapText="1"/>
    </xf>
    <xf numFmtId="0" fontId="16" fillId="5" borderId="7" xfId="0" applyFont="1" applyFill="1" applyBorder="1" applyAlignment="1">
      <alignment horizontal="right"/>
    </xf>
    <xf numFmtId="0" fontId="28" fillId="0" borderId="0" xfId="0" applyFont="1"/>
    <xf numFmtId="0" fontId="15" fillId="0" borderId="1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 wrapText="1"/>
    </xf>
    <xf numFmtId="0" fontId="15" fillId="0" borderId="33" xfId="0" applyFont="1" applyFill="1" applyBorder="1" applyAlignment="1">
      <alignment horizontal="center"/>
    </xf>
    <xf numFmtId="0" fontId="14" fillId="0" borderId="7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/>
    </xf>
    <xf numFmtId="0" fontId="15" fillId="0" borderId="7" xfId="0" applyFont="1" applyFill="1" applyBorder="1" applyAlignment="1">
      <alignment horizontal="right" wrapText="1"/>
    </xf>
    <xf numFmtId="0" fontId="15" fillId="0" borderId="20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right"/>
    </xf>
    <xf numFmtId="0" fontId="15" fillId="0" borderId="13" xfId="0" applyFont="1" applyFill="1" applyBorder="1" applyAlignment="1">
      <alignment horizontal="left" wrapText="1"/>
    </xf>
    <xf numFmtId="2" fontId="15" fillId="0" borderId="13" xfId="1" applyNumberFormat="1" applyFont="1" applyFill="1" applyBorder="1" applyAlignment="1">
      <alignment horizontal="right" wrapText="1"/>
    </xf>
    <xf numFmtId="0" fontId="7" fillId="0" borderId="56" xfId="0" applyFont="1" applyFill="1" applyBorder="1" applyAlignment="1">
      <alignment horizontal="left" wrapText="1"/>
    </xf>
    <xf numFmtId="0" fontId="7" fillId="0" borderId="28" xfId="0" applyFont="1" applyFill="1" applyBorder="1" applyAlignment="1">
      <alignment horizontal="left"/>
    </xf>
    <xf numFmtId="0" fontId="7" fillId="0" borderId="28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16" fillId="0" borderId="5" xfId="0" applyFont="1" applyFill="1" applyBorder="1" applyAlignment="1">
      <alignment horizontal="right" vertical="center" wrapText="1"/>
    </xf>
    <xf numFmtId="0" fontId="16" fillId="0" borderId="19" xfId="0" applyFont="1" applyFill="1" applyBorder="1" applyAlignment="1">
      <alignment horizontal="right"/>
    </xf>
    <xf numFmtId="0" fontId="15" fillId="0" borderId="19" xfId="0" applyFont="1" applyFill="1" applyBorder="1" applyAlignment="1">
      <alignment horizontal="right"/>
    </xf>
    <xf numFmtId="0" fontId="14" fillId="0" borderId="19" xfId="0" applyFont="1" applyFill="1" applyBorder="1" applyAlignment="1">
      <alignment horizontal="right"/>
    </xf>
    <xf numFmtId="0" fontId="30" fillId="0" borderId="0" xfId="0" applyFont="1" applyAlignment="1">
      <alignment wrapText="1"/>
    </xf>
    <xf numFmtId="3" fontId="15" fillId="0" borderId="13" xfId="0" applyNumberFormat="1" applyFont="1" applyFill="1" applyBorder="1" applyAlignment="1">
      <alignment horizontal="center"/>
    </xf>
    <xf numFmtId="0" fontId="15" fillId="0" borderId="33" xfId="0" applyFont="1" applyFill="1" applyBorder="1" applyAlignment="1">
      <alignment horizontal="left"/>
    </xf>
    <xf numFmtId="0" fontId="14" fillId="0" borderId="7" xfId="0" applyFont="1" applyFill="1" applyBorder="1" applyAlignment="1">
      <alignment horizontal="right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2" fontId="16" fillId="5" borderId="9" xfId="0" applyNumberFormat="1" applyFont="1" applyFill="1" applyBorder="1" applyAlignment="1">
      <alignment horizontal="left" vertical="center" wrapText="1"/>
    </xf>
    <xf numFmtId="2" fontId="16" fillId="0" borderId="9" xfId="1" applyNumberFormat="1" applyFont="1" applyFill="1" applyBorder="1" applyAlignment="1">
      <alignment horizontal="center" vertical="center" wrapText="1"/>
    </xf>
    <xf numFmtId="3" fontId="16" fillId="0" borderId="57" xfId="0" applyNumberFormat="1" applyFont="1" applyFill="1" applyBorder="1" applyAlignment="1">
      <alignment horizontal="center" vertical="center" wrapText="1"/>
    </xf>
    <xf numFmtId="2" fontId="14" fillId="0" borderId="9" xfId="0" applyNumberFormat="1" applyFont="1" applyFill="1" applyBorder="1" applyAlignment="1">
      <alignment horizontal="left" vertical="center" wrapText="1"/>
    </xf>
    <xf numFmtId="2" fontId="17" fillId="0" borderId="9" xfId="0" applyNumberFormat="1" applyFont="1" applyFill="1" applyBorder="1" applyAlignment="1">
      <alignment horizontal="left" wrapText="1"/>
    </xf>
    <xf numFmtId="2" fontId="16" fillId="0" borderId="9" xfId="1" applyNumberFormat="1" applyFont="1" applyFill="1" applyBorder="1" applyAlignment="1">
      <alignment horizontal="center" wrapText="1"/>
    </xf>
    <xf numFmtId="3" fontId="16" fillId="0" borderId="57" xfId="0" applyNumberFormat="1" applyFont="1" applyFill="1" applyBorder="1" applyAlignment="1">
      <alignment horizontal="center" wrapText="1"/>
    </xf>
    <xf numFmtId="2" fontId="15" fillId="0" borderId="9" xfId="0" applyNumberFormat="1" applyFont="1" applyFill="1" applyBorder="1" applyAlignment="1">
      <alignment horizontal="left" wrapText="1"/>
    </xf>
    <xf numFmtId="2" fontId="14" fillId="0" borderId="9" xfId="0" applyNumberFormat="1" applyFont="1" applyFill="1" applyBorder="1" applyAlignment="1">
      <alignment horizontal="left" wrapText="1"/>
    </xf>
    <xf numFmtId="2" fontId="16" fillId="5" borderId="9" xfId="0" applyNumberFormat="1" applyFont="1" applyFill="1" applyBorder="1" applyAlignment="1">
      <alignment horizontal="left" wrapText="1"/>
    </xf>
    <xf numFmtId="2" fontId="19" fillId="0" borderId="9" xfId="0" applyNumberFormat="1" applyFont="1" applyFill="1" applyBorder="1" applyAlignment="1">
      <alignment horizontal="left" wrapText="1"/>
    </xf>
    <xf numFmtId="3" fontId="5" fillId="0" borderId="57" xfId="0" applyNumberFormat="1" applyFont="1" applyFill="1" applyBorder="1" applyAlignment="1">
      <alignment horizontal="center" vertical="center" wrapText="1"/>
    </xf>
    <xf numFmtId="0" fontId="16" fillId="5" borderId="13" xfId="0" applyFont="1" applyFill="1" applyBorder="1" applyAlignment="1"/>
    <xf numFmtId="0" fontId="8" fillId="0" borderId="13" xfId="0" applyFont="1" applyFill="1" applyBorder="1" applyAlignment="1"/>
    <xf numFmtId="3" fontId="25" fillId="0" borderId="18" xfId="2" applyNumberFormat="1" applyFont="1" applyBorder="1" applyAlignment="1">
      <alignment horizontal="right" vertical="center"/>
    </xf>
    <xf numFmtId="3" fontId="27" fillId="0" borderId="52" xfId="2" applyNumberFormat="1" applyFont="1" applyBorder="1" applyAlignment="1">
      <alignment horizontal="right" vertical="center"/>
    </xf>
    <xf numFmtId="0" fontId="21" fillId="0" borderId="20" xfId="0" applyFont="1" applyBorder="1" applyAlignment="1">
      <alignment wrapText="1"/>
    </xf>
    <xf numFmtId="3" fontId="28" fillId="0" borderId="18" xfId="2" applyNumberFormat="1" applyFont="1" applyBorder="1" applyAlignment="1">
      <alignment horizontal="right" vertical="center"/>
    </xf>
    <xf numFmtId="3" fontId="30" fillId="0" borderId="18" xfId="2" applyNumberFormat="1" applyFont="1" applyBorder="1" applyAlignment="1">
      <alignment horizontal="right" vertical="center"/>
    </xf>
    <xf numFmtId="3" fontId="15" fillId="0" borderId="18" xfId="2" applyNumberFormat="1" applyFont="1" applyBorder="1" applyAlignment="1">
      <alignment horizontal="right" vertical="center"/>
    </xf>
    <xf numFmtId="3" fontId="15" fillId="0" borderId="52" xfId="2" applyNumberFormat="1" applyFont="1" applyBorder="1" applyAlignment="1">
      <alignment horizontal="right" vertical="center"/>
    </xf>
    <xf numFmtId="3" fontId="4" fillId="0" borderId="5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/>
    </xf>
    <xf numFmtId="3" fontId="4" fillId="0" borderId="57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left"/>
    </xf>
    <xf numFmtId="3" fontId="18" fillId="0" borderId="18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/>
    </xf>
    <xf numFmtId="0" fontId="19" fillId="0" borderId="33" xfId="0" applyFont="1" applyFill="1" applyBorder="1" applyAlignment="1">
      <alignment horizontal="left"/>
    </xf>
    <xf numFmtId="3" fontId="18" fillId="0" borderId="52" xfId="0" applyNumberFormat="1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center"/>
    </xf>
    <xf numFmtId="3" fontId="16" fillId="0" borderId="59" xfId="0" applyNumberFormat="1" applyFont="1" applyFill="1" applyBorder="1" applyAlignment="1">
      <alignment horizontal="center" vertical="center" wrapText="1"/>
    </xf>
    <xf numFmtId="3" fontId="15" fillId="0" borderId="18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/>
    </xf>
    <xf numFmtId="3" fontId="15" fillId="0" borderId="5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left"/>
    </xf>
    <xf numFmtId="0" fontId="19" fillId="0" borderId="13" xfId="0" applyNumberFormat="1" applyFont="1" applyFill="1" applyBorder="1" applyAlignment="1">
      <alignment horizontal="left"/>
    </xf>
    <xf numFmtId="0" fontId="14" fillId="0" borderId="13" xfId="0" applyNumberFormat="1" applyFont="1" applyFill="1" applyBorder="1" applyAlignment="1">
      <alignment horizontal="left"/>
    </xf>
    <xf numFmtId="0" fontId="15" fillId="0" borderId="13" xfId="0" applyNumberFormat="1" applyFont="1" applyFill="1" applyBorder="1" applyAlignment="1">
      <alignment horizontal="left"/>
    </xf>
    <xf numFmtId="3" fontId="15" fillId="0" borderId="18" xfId="0" applyNumberFormat="1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left"/>
    </xf>
    <xf numFmtId="0" fontId="19" fillId="0" borderId="33" xfId="0" applyNumberFormat="1" applyFont="1" applyFill="1" applyBorder="1" applyAlignment="1">
      <alignment horizontal="left"/>
    </xf>
    <xf numFmtId="0" fontId="8" fillId="0" borderId="9" xfId="0" applyNumberFormat="1" applyFont="1" applyFill="1" applyBorder="1" applyAlignment="1">
      <alignment horizontal="left"/>
    </xf>
    <xf numFmtId="0" fontId="14" fillId="0" borderId="13" xfId="0" applyFont="1" applyFill="1" applyBorder="1" applyAlignment="1">
      <alignment horizontal="left" wrapText="1"/>
    </xf>
    <xf numFmtId="2" fontId="15" fillId="0" borderId="13" xfId="1" applyNumberFormat="1" applyFont="1" applyFill="1" applyBorder="1" applyAlignment="1">
      <alignment horizontal="right"/>
    </xf>
    <xf numFmtId="0" fontId="15" fillId="0" borderId="20" xfId="0" applyFont="1" applyFill="1" applyBorder="1" applyAlignment="1">
      <alignment horizontal="left" wrapText="1"/>
    </xf>
    <xf numFmtId="2" fontId="15" fillId="0" borderId="20" xfId="1" applyNumberFormat="1" applyFont="1" applyFill="1" applyBorder="1" applyAlignment="1">
      <alignment horizontal="right"/>
    </xf>
    <xf numFmtId="3" fontId="4" fillId="0" borderId="59" xfId="0" applyNumberFormat="1" applyFont="1" applyFill="1" applyBorder="1" applyAlignment="1">
      <alignment horizontal="center" wrapText="1"/>
    </xf>
    <xf numFmtId="0" fontId="28" fillId="0" borderId="30" xfId="0" applyFont="1" applyBorder="1" applyAlignment="1">
      <alignment horizontal="right"/>
    </xf>
    <xf numFmtId="0" fontId="30" fillId="0" borderId="30" xfId="0" applyFont="1" applyBorder="1" applyAlignment="1">
      <alignment horizontal="right"/>
    </xf>
    <xf numFmtId="0" fontId="9" fillId="0" borderId="33" xfId="0" applyFont="1" applyFill="1" applyBorder="1" applyAlignment="1">
      <alignment horizontal="left" wrapText="1"/>
    </xf>
    <xf numFmtId="2" fontId="9" fillId="0" borderId="33" xfId="1" applyNumberFormat="1" applyFont="1" applyFill="1" applyBorder="1" applyAlignment="1">
      <alignment horizontal="right"/>
    </xf>
    <xf numFmtId="0" fontId="14" fillId="0" borderId="33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 wrapText="1"/>
    </xf>
    <xf numFmtId="3" fontId="15" fillId="0" borderId="59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/>
    <xf numFmtId="2" fontId="7" fillId="0" borderId="20" xfId="1" applyNumberFormat="1" applyFont="1" applyFill="1" applyBorder="1" applyAlignment="1">
      <alignment horizontal="center" vertical="center"/>
    </xf>
    <xf numFmtId="3" fontId="7" fillId="0" borderId="59" xfId="0" applyNumberFormat="1" applyFont="1" applyFill="1" applyBorder="1" applyAlignment="1">
      <alignment horizontal="center"/>
    </xf>
    <xf numFmtId="0" fontId="28" fillId="0" borderId="7" xfId="0" applyFont="1" applyBorder="1" applyAlignment="1">
      <alignment horizontal="right"/>
    </xf>
    <xf numFmtId="0" fontId="30" fillId="0" borderId="7" xfId="0" applyFont="1" applyBorder="1" applyAlignment="1">
      <alignment horizontal="right"/>
    </xf>
    <xf numFmtId="0" fontId="21" fillId="0" borderId="62" xfId="0" applyFont="1" applyBorder="1" applyAlignment="1">
      <alignment horizontal="right"/>
    </xf>
    <xf numFmtId="0" fontId="21" fillId="0" borderId="0" xfId="0" applyFont="1" applyBorder="1"/>
    <xf numFmtId="0" fontId="21" fillId="0" borderId="61" xfId="0" applyFont="1" applyBorder="1"/>
    <xf numFmtId="0" fontId="35" fillId="0" borderId="5" xfId="0" applyFont="1" applyBorder="1" applyAlignment="1">
      <alignment horizontal="right"/>
    </xf>
    <xf numFmtId="0" fontId="22" fillId="7" borderId="55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 wrapText="1"/>
    </xf>
    <xf numFmtId="0" fontId="23" fillId="6" borderId="60" xfId="0" applyFont="1" applyFill="1" applyBorder="1" applyAlignment="1">
      <alignment horizontal="center" vertical="center" wrapText="1"/>
    </xf>
    <xf numFmtId="2" fontId="23" fillId="6" borderId="60" xfId="1" applyNumberFormat="1" applyFont="1" applyFill="1" applyBorder="1" applyAlignment="1">
      <alignment horizontal="center" vertical="center" wrapText="1"/>
    </xf>
    <xf numFmtId="3" fontId="23" fillId="6" borderId="60" xfId="0" applyNumberFormat="1" applyFont="1" applyFill="1" applyBorder="1" applyAlignment="1">
      <alignment horizontal="center" vertical="center" wrapText="1"/>
    </xf>
    <xf numFmtId="3" fontId="23" fillId="6" borderId="39" xfId="0" applyNumberFormat="1" applyFont="1" applyFill="1" applyBorder="1" applyAlignment="1">
      <alignment horizontal="center" vertical="center" wrapText="1"/>
    </xf>
    <xf numFmtId="0" fontId="35" fillId="0" borderId="19" xfId="0" applyFont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2" fontId="15" fillId="0" borderId="9" xfId="0" applyNumberFormat="1" applyFont="1" applyFill="1" applyBorder="1" applyAlignment="1">
      <alignment horizontal="center" wrapText="1"/>
    </xf>
    <xf numFmtId="2" fontId="14" fillId="0" borderId="9" xfId="0" applyNumberFormat="1" applyFont="1" applyFill="1" applyBorder="1" applyAlignment="1">
      <alignment horizontal="center" wrapText="1"/>
    </xf>
    <xf numFmtId="0" fontId="30" fillId="0" borderId="13" xfId="0" applyFont="1" applyBorder="1" applyAlignment="1">
      <alignment horizontal="center"/>
    </xf>
    <xf numFmtId="2" fontId="15" fillId="0" borderId="9" xfId="1" applyNumberFormat="1" applyFont="1" applyFill="1" applyBorder="1" applyAlignment="1">
      <alignment horizontal="right" wrapText="1"/>
    </xf>
    <xf numFmtId="0" fontId="30" fillId="0" borderId="20" xfId="0" applyFont="1" applyBorder="1" applyAlignment="1">
      <alignment horizontal="right"/>
    </xf>
    <xf numFmtId="0" fontId="30" fillId="0" borderId="13" xfId="0" applyFont="1" applyBorder="1" applyAlignment="1">
      <alignment horizontal="right"/>
    </xf>
    <xf numFmtId="0" fontId="16" fillId="0" borderId="13" xfId="0" applyFont="1" applyFill="1" applyBorder="1" applyAlignment="1"/>
    <xf numFmtId="0" fontId="11" fillId="0" borderId="0" xfId="0" applyFont="1" applyAlignment="1">
      <alignment horizontal="center" wrapText="1"/>
    </xf>
    <xf numFmtId="4" fontId="30" fillId="0" borderId="13" xfId="0" applyNumberFormat="1" applyFont="1" applyBorder="1" applyAlignment="1">
      <alignment horizontal="right"/>
    </xf>
    <xf numFmtId="0" fontId="5" fillId="0" borderId="5" xfId="0" applyFont="1" applyFill="1" applyBorder="1" applyAlignment="1">
      <alignment horizontal="right" wrapText="1"/>
    </xf>
    <xf numFmtId="2" fontId="6" fillId="0" borderId="9" xfId="0" applyNumberFormat="1" applyFont="1" applyFill="1" applyBorder="1" applyAlignment="1">
      <alignment horizontal="left" wrapText="1"/>
    </xf>
    <xf numFmtId="2" fontId="5" fillId="0" borderId="9" xfId="0" applyNumberFormat="1" applyFont="1" applyFill="1" applyBorder="1" applyAlignment="1">
      <alignment horizontal="center" wrapText="1"/>
    </xf>
    <xf numFmtId="2" fontId="5" fillId="0" borderId="9" xfId="1" applyNumberFormat="1" applyFont="1" applyFill="1" applyBorder="1" applyAlignment="1">
      <alignment horizontal="center" wrapText="1"/>
    </xf>
    <xf numFmtId="3" fontId="5" fillId="0" borderId="9" xfId="0" applyNumberFormat="1" applyFont="1" applyFill="1" applyBorder="1" applyAlignment="1">
      <alignment horizontal="center" wrapText="1"/>
    </xf>
    <xf numFmtId="0" fontId="29" fillId="0" borderId="13" xfId="0" applyFont="1" applyBorder="1" applyAlignment="1">
      <alignment wrapText="1"/>
    </xf>
    <xf numFmtId="0" fontId="28" fillId="0" borderId="13" xfId="0" applyFont="1" applyBorder="1" applyAlignment="1">
      <alignment horizontal="center"/>
    </xf>
    <xf numFmtId="4" fontId="26" fillId="0" borderId="13" xfId="1" applyNumberFormat="1" applyFont="1" applyBorder="1" applyAlignment="1">
      <alignment horizontal="right"/>
    </xf>
    <xf numFmtId="3" fontId="25" fillId="0" borderId="13" xfId="2" applyNumberFormat="1" applyFont="1" applyBorder="1" applyAlignment="1">
      <alignment horizontal="right"/>
    </xf>
    <xf numFmtId="0" fontId="28" fillId="0" borderId="13" xfId="0" applyFont="1" applyBorder="1" applyAlignment="1">
      <alignment wrapText="1"/>
    </xf>
    <xf numFmtId="4" fontId="15" fillId="4" borderId="13" xfId="1" applyNumberFormat="1" applyFont="1" applyFill="1" applyBorder="1" applyAlignment="1">
      <alignment horizontal="right"/>
    </xf>
    <xf numFmtId="3" fontId="15" fillId="0" borderId="13" xfId="2" applyNumberFormat="1" applyFont="1" applyBorder="1" applyAlignment="1">
      <alignment horizontal="right"/>
    </xf>
    <xf numFmtId="4" fontId="15" fillId="0" borderId="13" xfId="1" applyNumberFormat="1" applyFont="1" applyBorder="1" applyAlignment="1">
      <alignment horizontal="right"/>
    </xf>
    <xf numFmtId="0" fontId="30" fillId="0" borderId="13" xfId="0" applyFont="1" applyBorder="1" applyAlignment="1">
      <alignment wrapText="1"/>
    </xf>
    <xf numFmtId="4" fontId="15" fillId="0" borderId="13" xfId="1" applyNumberFormat="1" applyFont="1" applyFill="1" applyBorder="1" applyAlignment="1">
      <alignment horizontal="right"/>
    </xf>
    <xf numFmtId="0" fontId="30" fillId="0" borderId="20" xfId="0" applyFont="1" applyBorder="1" applyAlignment="1"/>
    <xf numFmtId="4" fontId="32" fillId="4" borderId="13" xfId="1" applyNumberFormat="1" applyFont="1" applyFill="1" applyBorder="1" applyAlignment="1">
      <alignment horizontal="right"/>
    </xf>
    <xf numFmtId="3" fontId="30" fillId="0" borderId="13" xfId="2" applyNumberFormat="1" applyFont="1" applyBorder="1" applyAlignment="1">
      <alignment horizontal="right"/>
    </xf>
    <xf numFmtId="0" fontId="21" fillId="0" borderId="7" xfId="0" applyFont="1" applyBorder="1" applyAlignment="1">
      <alignment horizontal="right"/>
    </xf>
    <xf numFmtId="0" fontId="21" fillId="0" borderId="13" xfId="0" applyFont="1" applyBorder="1" applyAlignment="1">
      <alignment horizontal="center"/>
    </xf>
    <xf numFmtId="4" fontId="27" fillId="4" borderId="13" xfId="1" applyNumberFormat="1" applyFont="1" applyFill="1" applyBorder="1" applyAlignment="1">
      <alignment horizontal="right"/>
    </xf>
    <xf numFmtId="4" fontId="32" fillId="0" borderId="13" xfId="1" applyNumberFormat="1" applyFont="1" applyBorder="1" applyAlignment="1">
      <alignment horizontal="right"/>
    </xf>
    <xf numFmtId="3" fontId="28" fillId="0" borderId="13" xfId="2" applyNumberFormat="1" applyFont="1" applyBorder="1" applyAlignment="1">
      <alignment horizontal="right"/>
    </xf>
    <xf numFmtId="4" fontId="30" fillId="0" borderId="20" xfId="0" applyNumberFormat="1" applyFont="1" applyBorder="1" applyAlignment="1"/>
    <xf numFmtId="0" fontId="30" fillId="0" borderId="13" xfId="0" applyFont="1" applyFill="1" applyBorder="1" applyAlignment="1">
      <alignment wrapText="1"/>
    </xf>
    <xf numFmtId="3" fontId="15" fillId="0" borderId="13" xfId="1" applyNumberFormat="1" applyFont="1" applyBorder="1" applyAlignment="1">
      <alignment horizontal="right"/>
    </xf>
    <xf numFmtId="0" fontId="30" fillId="0" borderId="19" xfId="0" applyFont="1" applyBorder="1" applyAlignment="1">
      <alignment horizontal="right"/>
    </xf>
    <xf numFmtId="0" fontId="30" fillId="0" borderId="33" xfId="0" applyFont="1" applyBorder="1" applyAlignment="1">
      <alignment wrapText="1"/>
    </xf>
    <xf numFmtId="0" fontId="30" fillId="0" borderId="33" xfId="0" applyFont="1" applyBorder="1" applyAlignment="1">
      <alignment horizontal="center"/>
    </xf>
    <xf numFmtId="4" fontId="15" fillId="4" borderId="33" xfId="1" applyNumberFormat="1" applyFont="1" applyFill="1" applyBorder="1" applyAlignment="1">
      <alignment horizontal="right"/>
    </xf>
    <xf numFmtId="3" fontId="15" fillId="0" borderId="33" xfId="2" applyNumberFormat="1" applyFont="1" applyBorder="1" applyAlignment="1">
      <alignment horizontal="right"/>
    </xf>
    <xf numFmtId="2" fontId="7" fillId="0" borderId="33" xfId="0" applyNumberFormat="1" applyFont="1" applyFill="1" applyBorder="1" applyAlignment="1">
      <alignment horizontal="left" wrapText="1"/>
    </xf>
    <xf numFmtId="2" fontId="4" fillId="0" borderId="33" xfId="0" applyNumberFormat="1" applyFont="1" applyFill="1" applyBorder="1" applyAlignment="1">
      <alignment horizontal="center" wrapText="1"/>
    </xf>
    <xf numFmtId="2" fontId="4" fillId="0" borderId="33" xfId="1" applyNumberFormat="1" applyFont="1" applyFill="1" applyBorder="1" applyAlignment="1">
      <alignment horizontal="center" wrapText="1"/>
    </xf>
    <xf numFmtId="3" fontId="4" fillId="0" borderId="33" xfId="0" applyNumberFormat="1" applyFont="1" applyFill="1" applyBorder="1" applyAlignment="1">
      <alignment horizontal="center" wrapText="1"/>
    </xf>
    <xf numFmtId="2" fontId="7" fillId="0" borderId="9" xfId="1" applyNumberFormat="1" applyFont="1" applyFill="1" applyBorder="1" applyAlignment="1">
      <alignment horizontal="center"/>
    </xf>
    <xf numFmtId="2" fontId="15" fillId="0" borderId="33" xfId="1" applyNumberFormat="1" applyFont="1" applyFill="1" applyBorder="1" applyAlignment="1">
      <alignment horizontal="center"/>
    </xf>
    <xf numFmtId="3" fontId="15" fillId="0" borderId="33" xfId="0" applyNumberFormat="1" applyFont="1" applyFill="1" applyBorder="1" applyAlignment="1">
      <alignment horizontal="center"/>
    </xf>
    <xf numFmtId="2" fontId="7" fillId="0" borderId="33" xfId="1" applyNumberFormat="1" applyFont="1" applyFill="1" applyBorder="1" applyAlignment="1">
      <alignment horizontal="center"/>
    </xf>
    <xf numFmtId="2" fontId="7" fillId="0" borderId="28" xfId="1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center"/>
    </xf>
    <xf numFmtId="3" fontId="15" fillId="0" borderId="13" xfId="0" applyNumberFormat="1" applyFont="1" applyFill="1" applyBorder="1" applyAlignment="1">
      <alignment horizontal="center" wrapText="1"/>
    </xf>
    <xf numFmtId="2" fontId="15" fillId="0" borderId="33" xfId="1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center" wrapText="1"/>
    </xf>
    <xf numFmtId="0" fontId="29" fillId="0" borderId="20" xfId="0" applyFont="1" applyBorder="1" applyAlignment="1"/>
    <xf numFmtId="0" fontId="28" fillId="0" borderId="13" xfId="0" applyFont="1" applyBorder="1" applyAlignment="1"/>
    <xf numFmtId="0" fontId="30" fillId="0" borderId="13" xfId="0" applyFont="1" applyBorder="1" applyAlignment="1"/>
    <xf numFmtId="0" fontId="28" fillId="0" borderId="20" xfId="0" applyFont="1" applyBorder="1" applyAlignment="1"/>
    <xf numFmtId="2" fontId="15" fillId="0" borderId="13" xfId="1" applyNumberFormat="1" applyFont="1" applyFill="1" applyBorder="1" applyAlignment="1">
      <alignment horizontal="center"/>
    </xf>
    <xf numFmtId="2" fontId="19" fillId="0" borderId="13" xfId="1" applyNumberFormat="1" applyFont="1" applyFill="1" applyBorder="1" applyAlignment="1">
      <alignment horizontal="right"/>
    </xf>
    <xf numFmtId="2" fontId="7" fillId="0" borderId="13" xfId="1" applyNumberFormat="1" applyFont="1" applyFill="1" applyBorder="1" applyAlignment="1">
      <alignment horizontal="center"/>
    </xf>
    <xf numFmtId="2" fontId="15" fillId="0" borderId="20" xfId="1" applyNumberFormat="1" applyFont="1" applyFill="1" applyBorder="1" applyAlignment="1">
      <alignment horizontal="right" wrapText="1"/>
    </xf>
    <xf numFmtId="3" fontId="15" fillId="0" borderId="20" xfId="0" applyNumberFormat="1" applyFont="1" applyFill="1" applyBorder="1" applyAlignment="1">
      <alignment horizontal="center" wrapText="1"/>
    </xf>
    <xf numFmtId="3" fontId="5" fillId="0" borderId="13" xfId="0" applyNumberFormat="1" applyFont="1" applyFill="1" applyBorder="1" applyAlignment="1">
      <alignment horizontal="center" wrapText="1"/>
    </xf>
    <xf numFmtId="0" fontId="23" fillId="0" borderId="7" xfId="0" applyFont="1" applyFill="1" applyBorder="1" applyAlignment="1">
      <alignment horizontal="right" vertical="center" wrapText="1"/>
    </xf>
    <xf numFmtId="0" fontId="23" fillId="0" borderId="7" xfId="0" applyFont="1" applyFill="1" applyBorder="1" applyAlignment="1">
      <alignment horizontal="right" wrapText="1"/>
    </xf>
    <xf numFmtId="0" fontId="23" fillId="0" borderId="7" xfId="0" applyFont="1" applyFill="1" applyBorder="1" applyAlignment="1">
      <alignment horizontal="right"/>
    </xf>
    <xf numFmtId="0" fontId="36" fillId="0" borderId="0" xfId="0" applyFont="1" applyAlignment="1">
      <alignment horizontal="right"/>
    </xf>
    <xf numFmtId="0" fontId="36" fillId="0" borderId="46" xfId="0" applyFont="1" applyBorder="1" applyAlignment="1">
      <alignment horizontal="right"/>
    </xf>
    <xf numFmtId="0" fontId="0" fillId="0" borderId="13" xfId="0" applyFont="1" applyBorder="1"/>
    <xf numFmtId="0" fontId="37" fillId="8" borderId="2" xfId="0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2" fontId="37" fillId="8" borderId="3" xfId="1" applyNumberFormat="1" applyFont="1" applyFill="1" applyBorder="1" applyAlignment="1">
      <alignment horizontal="center" vertical="center" wrapText="1"/>
    </xf>
    <xf numFmtId="3" fontId="37" fillId="8" borderId="2" xfId="0" applyNumberFormat="1" applyFont="1" applyFill="1" applyBorder="1" applyAlignment="1">
      <alignment horizontal="center" vertical="center" wrapText="1"/>
    </xf>
    <xf numFmtId="3" fontId="37" fillId="8" borderId="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2" fontId="37" fillId="0" borderId="63" xfId="1" applyNumberFormat="1" applyFont="1" applyFill="1" applyBorder="1" applyAlignment="1">
      <alignment horizontal="center" vertical="center" wrapText="1"/>
    </xf>
    <xf numFmtId="3" fontId="37" fillId="0" borderId="64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/>
    <xf numFmtId="3" fontId="37" fillId="0" borderId="11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2" fontId="37" fillId="0" borderId="21" xfId="1" applyNumberFormat="1" applyFont="1" applyFill="1" applyBorder="1" applyAlignment="1">
      <alignment horizontal="center" vertical="center" wrapText="1"/>
    </xf>
    <xf numFmtId="3" fontId="37" fillId="0" borderId="20" xfId="0" applyNumberFormat="1" applyFont="1" applyFill="1" applyBorder="1" applyAlignment="1">
      <alignment horizontal="center" vertical="center" wrapText="1"/>
    </xf>
    <xf numFmtId="3" fontId="37" fillId="0" borderId="31" xfId="0" applyNumberFormat="1" applyFont="1" applyFill="1" applyBorder="1" applyAlignment="1">
      <alignment horizontal="center" vertical="center" wrapText="1"/>
    </xf>
    <xf numFmtId="0" fontId="41" fillId="0" borderId="40" xfId="0" applyFont="1" applyFill="1" applyBorder="1" applyAlignment="1">
      <alignment horizontal="left" vertical="center" wrapText="1"/>
    </xf>
    <xf numFmtId="0" fontId="41" fillId="0" borderId="13" xfId="0" applyFont="1" applyBorder="1" applyAlignment="1">
      <alignment horizontal="center" vertical="center" wrapText="1"/>
    </xf>
    <xf numFmtId="2" fontId="41" fillId="0" borderId="13" xfId="1" applyNumberFormat="1" applyFont="1" applyFill="1" applyBorder="1" applyAlignment="1">
      <alignment horizontal="right" vertical="center" wrapText="1"/>
    </xf>
    <xf numFmtId="3" fontId="40" fillId="0" borderId="15" xfId="0" applyNumberFormat="1" applyFont="1" applyFill="1" applyBorder="1" applyAlignment="1">
      <alignment horizontal="right" vertical="center" wrapText="1"/>
    </xf>
    <xf numFmtId="0" fontId="0" fillId="0" borderId="51" xfId="0" applyFont="1" applyBorder="1"/>
    <xf numFmtId="0" fontId="0" fillId="0" borderId="33" xfId="0" applyFont="1" applyBorder="1"/>
    <xf numFmtId="3" fontId="37" fillId="2" borderId="44" xfId="0" applyNumberFormat="1" applyFont="1" applyFill="1" applyBorder="1" applyAlignment="1">
      <alignment horizontal="right" vertical="center" wrapText="1"/>
    </xf>
    <xf numFmtId="2" fontId="38" fillId="0" borderId="45" xfId="0" applyNumberFormat="1" applyFont="1" applyFill="1" applyBorder="1" applyAlignment="1">
      <alignment horizontal="right" vertical="center" wrapText="1"/>
    </xf>
    <xf numFmtId="2" fontId="38" fillId="0" borderId="9" xfId="0" applyNumberFormat="1" applyFont="1" applyFill="1" applyBorder="1" applyAlignment="1">
      <alignment horizontal="center" vertical="center" wrapText="1"/>
    </xf>
    <xf numFmtId="2" fontId="38" fillId="0" borderId="8" xfId="0" applyNumberFormat="1" applyFont="1" applyFill="1" applyBorder="1" applyAlignment="1">
      <alignment horizontal="center" vertical="center" wrapText="1"/>
    </xf>
    <xf numFmtId="2" fontId="38" fillId="0" borderId="47" xfId="0" applyNumberFormat="1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center"/>
    </xf>
    <xf numFmtId="2" fontId="40" fillId="0" borderId="14" xfId="1" applyNumberFormat="1" applyFont="1" applyFill="1" applyBorder="1" applyAlignment="1">
      <alignment horizontal="center" vertical="center"/>
    </xf>
    <xf numFmtId="3" fontId="40" fillId="0" borderId="13" xfId="0" applyNumberFormat="1" applyFont="1" applyFill="1" applyBorder="1" applyAlignment="1">
      <alignment horizontal="center" vertical="center"/>
    </xf>
    <xf numFmtId="3" fontId="41" fillId="0" borderId="15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left"/>
    </xf>
    <xf numFmtId="0" fontId="40" fillId="0" borderId="7" xfId="0" applyFont="1" applyFill="1" applyBorder="1" applyAlignment="1">
      <alignment horizontal="right"/>
    </xf>
    <xf numFmtId="0" fontId="40" fillId="0" borderId="12" xfId="0" applyFont="1" applyFill="1" applyBorder="1" applyAlignment="1"/>
    <xf numFmtId="2" fontId="40" fillId="0" borderId="14" xfId="1" applyNumberFormat="1" applyFont="1" applyFill="1" applyBorder="1" applyAlignment="1">
      <alignment horizontal="right" vertical="center"/>
    </xf>
    <xf numFmtId="3" fontId="40" fillId="0" borderId="13" xfId="0" applyNumberFormat="1" applyFont="1" applyFill="1" applyBorder="1" applyAlignment="1">
      <alignment horizontal="right" vertical="center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/>
    </xf>
    <xf numFmtId="2" fontId="40" fillId="0" borderId="12" xfId="1" applyNumberFormat="1" applyFont="1" applyFill="1" applyBorder="1" applyAlignment="1">
      <alignment horizontal="right" vertical="center"/>
    </xf>
    <xf numFmtId="0" fontId="40" fillId="0" borderId="33" xfId="0" applyFont="1" applyBorder="1" applyAlignment="1">
      <alignment horizontal="center" vertical="center"/>
    </xf>
    <xf numFmtId="2" fontId="40" fillId="0" borderId="40" xfId="1" applyNumberFormat="1" applyFont="1" applyFill="1" applyBorder="1" applyAlignment="1">
      <alignment horizontal="right" vertical="center"/>
    </xf>
    <xf numFmtId="3" fontId="40" fillId="0" borderId="33" xfId="0" applyNumberFormat="1" applyFont="1" applyFill="1" applyBorder="1" applyAlignment="1">
      <alignment horizontal="right" vertical="center"/>
    </xf>
    <xf numFmtId="0" fontId="40" fillId="0" borderId="19" xfId="0" applyFont="1" applyFill="1" applyBorder="1" applyAlignment="1">
      <alignment horizontal="right"/>
    </xf>
    <xf numFmtId="0" fontId="40" fillId="0" borderId="40" xfId="0" applyFont="1" applyBorder="1" applyAlignment="1">
      <alignment wrapText="1"/>
    </xf>
    <xf numFmtId="0" fontId="40" fillId="0" borderId="51" xfId="0" applyFont="1" applyFill="1" applyBorder="1" applyAlignment="1">
      <alignment horizontal="left"/>
    </xf>
    <xf numFmtId="0" fontId="40" fillId="0" borderId="33" xfId="0" applyFont="1" applyFill="1" applyBorder="1" applyAlignment="1">
      <alignment horizontal="center"/>
    </xf>
    <xf numFmtId="2" fontId="40" fillId="0" borderId="33" xfId="1" applyNumberFormat="1" applyFont="1" applyFill="1" applyBorder="1" applyAlignment="1">
      <alignment horizontal="center" vertical="center"/>
    </xf>
    <xf numFmtId="3" fontId="40" fillId="0" borderId="33" xfId="0" applyNumberFormat="1" applyFont="1" applyFill="1" applyBorder="1" applyAlignment="1">
      <alignment horizontal="center" vertical="center"/>
    </xf>
    <xf numFmtId="3" fontId="41" fillId="0" borderId="22" xfId="0" applyNumberFormat="1" applyFont="1" applyFill="1" applyBorder="1" applyAlignment="1">
      <alignment horizontal="center" vertical="center" wrapText="1"/>
    </xf>
    <xf numFmtId="0" fontId="38" fillId="0" borderId="5" xfId="0" applyFont="1" applyFill="1" applyBorder="1" applyAlignment="1">
      <alignment horizontal="right"/>
    </xf>
    <xf numFmtId="0" fontId="38" fillId="0" borderId="8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3" fontId="37" fillId="0" borderId="15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left"/>
    </xf>
    <xf numFmtId="2" fontId="40" fillId="0" borderId="12" xfId="0" applyNumberFormat="1" applyFont="1" applyFill="1" applyBorder="1" applyAlignment="1"/>
    <xf numFmtId="3" fontId="40" fillId="0" borderId="13" xfId="0" applyNumberFormat="1" applyFont="1" applyFill="1" applyBorder="1" applyAlignment="1">
      <alignment horizontal="right"/>
    </xf>
    <xf numFmtId="3" fontId="41" fillId="0" borderId="15" xfId="0" applyNumberFormat="1" applyFont="1" applyFill="1" applyBorder="1" applyAlignment="1">
      <alignment horizontal="right" vertical="center" wrapText="1"/>
    </xf>
    <xf numFmtId="0" fontId="38" fillId="0" borderId="19" xfId="0" applyFont="1" applyFill="1" applyBorder="1" applyAlignment="1">
      <alignment horizontal="right"/>
    </xf>
    <xf numFmtId="0" fontId="38" fillId="0" borderId="40" xfId="0" applyFont="1" applyFill="1" applyBorder="1" applyAlignment="1">
      <alignment horizontal="center"/>
    </xf>
    <xf numFmtId="0" fontId="38" fillId="0" borderId="33" xfId="0" applyFont="1" applyFill="1" applyBorder="1" applyAlignment="1">
      <alignment horizontal="center"/>
    </xf>
    <xf numFmtId="3" fontId="37" fillId="0" borderId="22" xfId="0" applyNumberFormat="1" applyFont="1" applyFill="1" applyBorder="1" applyAlignment="1">
      <alignment horizontal="right" vertical="center" wrapText="1"/>
    </xf>
    <xf numFmtId="0" fontId="40" fillId="0" borderId="12" xfId="0" applyFont="1" applyFill="1" applyBorder="1" applyAlignment="1">
      <alignment horizontal="left" wrapText="1"/>
    </xf>
    <xf numFmtId="2" fontId="40" fillId="0" borderId="12" xfId="0" applyNumberFormat="1" applyFont="1" applyFill="1" applyBorder="1" applyAlignment="1">
      <alignment horizontal="right"/>
    </xf>
    <xf numFmtId="3" fontId="40" fillId="0" borderId="13" xfId="0" applyNumberFormat="1" applyFont="1" applyFill="1" applyBorder="1" applyAlignment="1"/>
    <xf numFmtId="3" fontId="40" fillId="0" borderId="15" xfId="0" applyNumberFormat="1" applyFont="1" applyFill="1" applyBorder="1" applyAlignment="1">
      <alignment horizontal="right" wrapText="1"/>
    </xf>
    <xf numFmtId="3" fontId="37" fillId="0" borderId="22" xfId="0" applyNumberFormat="1" applyFont="1" applyFill="1" applyBorder="1" applyAlignment="1">
      <alignment horizontal="center" vertical="center" wrapText="1"/>
    </xf>
    <xf numFmtId="3" fontId="37" fillId="2" borderId="44" xfId="0" applyNumberFormat="1" applyFont="1" applyFill="1" applyBorder="1" applyAlignment="1">
      <alignment horizontal="right" wrapText="1"/>
    </xf>
    <xf numFmtId="0" fontId="38" fillId="0" borderId="8" xfId="0" applyFont="1" applyFill="1" applyBorder="1" applyAlignment="1">
      <alignment horizontal="right"/>
    </xf>
    <xf numFmtId="0" fontId="39" fillId="0" borderId="12" xfId="0" applyFont="1" applyFill="1" applyBorder="1" applyAlignment="1">
      <alignment horizontal="left" wrapText="1"/>
    </xf>
    <xf numFmtId="0" fontId="40" fillId="0" borderId="12" xfId="0" applyFont="1" applyBorder="1" applyAlignment="1">
      <alignment vertical="center" wrapText="1"/>
    </xf>
    <xf numFmtId="2" fontId="40" fillId="0" borderId="14" xfId="1" applyNumberFormat="1" applyFont="1" applyFill="1" applyBorder="1" applyAlignment="1">
      <alignment horizontal="right"/>
    </xf>
    <xf numFmtId="0" fontId="40" fillId="0" borderId="7" xfId="0" applyFont="1" applyFill="1" applyBorder="1" applyAlignment="1">
      <alignment horizontal="right" wrapText="1"/>
    </xf>
    <xf numFmtId="0" fontId="40" fillId="0" borderId="12" xfId="0" applyNumberFormat="1" applyFont="1" applyFill="1" applyBorder="1" applyAlignment="1">
      <alignment horizontal="left" wrapText="1"/>
    </xf>
    <xf numFmtId="0" fontId="40" fillId="0" borderId="13" xfId="0" applyFont="1" applyFill="1" applyBorder="1" applyAlignment="1">
      <alignment horizontal="center" wrapText="1"/>
    </xf>
    <xf numFmtId="2" fontId="40" fillId="0" borderId="14" xfId="1" applyNumberFormat="1" applyFont="1" applyFill="1" applyBorder="1" applyAlignment="1">
      <alignment horizontal="right" wrapText="1"/>
    </xf>
    <xf numFmtId="3" fontId="40" fillId="0" borderId="13" xfId="0" applyNumberFormat="1" applyFont="1" applyFill="1" applyBorder="1" applyAlignment="1">
      <alignment horizontal="right" wrapText="1"/>
    </xf>
    <xf numFmtId="2" fontId="40" fillId="0" borderId="34" xfId="1" applyNumberFormat="1" applyFont="1" applyFill="1" applyBorder="1" applyAlignment="1">
      <alignment horizontal="right"/>
    </xf>
    <xf numFmtId="3" fontId="40" fillId="0" borderId="33" xfId="0" applyNumberFormat="1" applyFont="1" applyFill="1" applyBorder="1" applyAlignment="1">
      <alignment horizontal="right"/>
    </xf>
    <xf numFmtId="0" fontId="40" fillId="0" borderId="40" xfId="0" applyNumberFormat="1" applyFont="1" applyFill="1" applyBorder="1" applyAlignment="1">
      <alignment horizontal="left" wrapText="1"/>
    </xf>
    <xf numFmtId="2" fontId="40" fillId="0" borderId="34" xfId="1" applyNumberFormat="1" applyFont="1" applyFill="1" applyBorder="1" applyAlignment="1">
      <alignment horizontal="right" vertical="center"/>
    </xf>
    <xf numFmtId="0" fontId="38" fillId="0" borderId="65" xfId="0" applyFont="1" applyFill="1" applyBorder="1" applyAlignment="1">
      <alignment horizontal="center"/>
    </xf>
    <xf numFmtId="0" fontId="38" fillId="0" borderId="66" xfId="0" applyFont="1" applyFill="1" applyBorder="1" applyAlignment="1">
      <alignment horizontal="center"/>
    </xf>
    <xf numFmtId="0" fontId="38" fillId="0" borderId="17" xfId="0" applyFont="1" applyFill="1" applyBorder="1" applyAlignment="1">
      <alignment horizontal="right"/>
    </xf>
    <xf numFmtId="0" fontId="39" fillId="0" borderId="13" xfId="0" applyFont="1" applyFill="1" applyBorder="1" applyAlignment="1">
      <alignment horizontal="left"/>
    </xf>
    <xf numFmtId="0" fontId="40" fillId="0" borderId="17" xfId="0" applyFont="1" applyFill="1" applyBorder="1" applyAlignment="1">
      <alignment horizontal="right"/>
    </xf>
    <xf numFmtId="0" fontId="40" fillId="0" borderId="13" xfId="0" applyFont="1" applyFill="1" applyBorder="1" applyAlignment="1">
      <alignment horizontal="left"/>
    </xf>
    <xf numFmtId="2" fontId="40" fillId="0" borderId="13" xfId="0" applyNumberFormat="1" applyFont="1" applyFill="1" applyBorder="1" applyAlignment="1"/>
    <xf numFmtId="0" fontId="40" fillId="0" borderId="13" xfId="0" applyFont="1" applyFill="1" applyBorder="1" applyAlignment="1">
      <alignment horizontal="right" vertical="center"/>
    </xf>
    <xf numFmtId="0" fontId="40" fillId="0" borderId="46" xfId="0" applyFont="1" applyFill="1" applyBorder="1" applyAlignment="1">
      <alignment horizontal="right"/>
    </xf>
    <xf numFmtId="0" fontId="40" fillId="0" borderId="33" xfId="0" applyFont="1" applyFill="1" applyBorder="1" applyAlignment="1">
      <alignment horizontal="left"/>
    </xf>
    <xf numFmtId="0" fontId="38" fillId="0" borderId="17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 vertical="center"/>
    </xf>
    <xf numFmtId="3" fontId="38" fillId="0" borderId="15" xfId="0" applyNumberFormat="1" applyFont="1" applyFill="1" applyBorder="1" applyAlignment="1">
      <alignment horizontal="center" vertical="center" wrapText="1"/>
    </xf>
    <xf numFmtId="3" fontId="40" fillId="0" borderId="15" xfId="0" applyNumberFormat="1" applyFont="1" applyFill="1" applyBorder="1" applyAlignment="1">
      <alignment horizontal="center" vertical="center" wrapText="1"/>
    </xf>
    <xf numFmtId="2" fontId="40" fillId="0" borderId="14" xfId="1" applyNumberFormat="1" applyFont="1" applyFill="1" applyBorder="1" applyAlignment="1">
      <alignment horizontal="center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/>
    </xf>
    <xf numFmtId="0" fontId="40" fillId="0" borderId="16" xfId="0" applyFont="1" applyFill="1" applyBorder="1" applyAlignment="1">
      <alignment horizontal="left" vertical="center" wrapText="1"/>
    </xf>
    <xf numFmtId="0" fontId="40" fillId="0" borderId="12" xfId="0" applyFont="1" applyFill="1" applyBorder="1" applyAlignment="1">
      <alignment horizontal="left" vertical="center"/>
    </xf>
    <xf numFmtId="0" fontId="0" fillId="0" borderId="56" xfId="0" applyFont="1" applyBorder="1"/>
    <xf numFmtId="0" fontId="38" fillId="0" borderId="16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left"/>
    </xf>
    <xf numFmtId="3" fontId="41" fillId="0" borderId="15" xfId="0" applyNumberFormat="1" applyFont="1" applyFill="1" applyBorder="1" applyAlignment="1">
      <alignment horizontal="right" wrapText="1"/>
    </xf>
    <xf numFmtId="0" fontId="40" fillId="0" borderId="32" xfId="0" applyFont="1" applyFill="1" applyBorder="1" applyAlignment="1">
      <alignment horizontal="right"/>
    </xf>
    <xf numFmtId="0" fontId="40" fillId="0" borderId="33" xfId="0" applyFont="1" applyFill="1" applyBorder="1" applyAlignment="1">
      <alignment horizontal="left" wrapText="1"/>
    </xf>
    <xf numFmtId="2" fontId="40" fillId="0" borderId="13" xfId="1" applyNumberFormat="1" applyFont="1" applyFill="1" applyBorder="1" applyAlignment="1">
      <alignment horizontal="center" vertical="center"/>
    </xf>
    <xf numFmtId="0" fontId="40" fillId="0" borderId="56" xfId="0" applyNumberFormat="1" applyFont="1" applyFill="1" applyBorder="1" applyAlignment="1">
      <alignment horizontal="left" wrapText="1"/>
    </xf>
    <xf numFmtId="0" fontId="40" fillId="0" borderId="56" xfId="0" applyFont="1" applyFill="1" applyBorder="1" applyAlignment="1">
      <alignment horizontal="center"/>
    </xf>
    <xf numFmtId="2" fontId="40" fillId="0" borderId="56" xfId="1" applyNumberFormat="1" applyFont="1" applyFill="1" applyBorder="1" applyAlignment="1">
      <alignment horizontal="right"/>
    </xf>
    <xf numFmtId="3" fontId="40" fillId="0" borderId="56" xfId="0" applyNumberFormat="1" applyFont="1" applyFill="1" applyBorder="1" applyAlignment="1">
      <alignment horizontal="right"/>
    </xf>
    <xf numFmtId="3" fontId="41" fillId="0" borderId="31" xfId="0" applyNumberFormat="1" applyFont="1" applyFill="1" applyBorder="1" applyAlignment="1">
      <alignment horizontal="right" wrapText="1"/>
    </xf>
    <xf numFmtId="3" fontId="37" fillId="2" borderId="58" xfId="0" applyNumberFormat="1" applyFont="1" applyFill="1" applyBorder="1" applyAlignment="1">
      <alignment horizontal="right" vertical="center" wrapText="1"/>
    </xf>
    <xf numFmtId="3" fontId="41" fillId="0" borderId="15" xfId="0" applyNumberFormat="1" applyFont="1" applyFill="1" applyBorder="1" applyAlignment="1">
      <alignment horizontal="center" wrapText="1"/>
    </xf>
    <xf numFmtId="3" fontId="40" fillId="0" borderId="13" xfId="0" applyNumberFormat="1" applyFont="1" applyFill="1" applyBorder="1" applyAlignment="1">
      <alignment horizontal="center"/>
    </xf>
    <xf numFmtId="0" fontId="40" fillId="0" borderId="56" xfId="0" applyFont="1" applyFill="1" applyBorder="1" applyAlignment="1">
      <alignment horizontal="left" wrapText="1"/>
    </xf>
    <xf numFmtId="0" fontId="43" fillId="0" borderId="56" xfId="0" applyFont="1" applyFill="1" applyBorder="1" applyAlignment="1">
      <alignment horizontal="center"/>
    </xf>
    <xf numFmtId="2" fontId="43" fillId="0" borderId="56" xfId="1" applyNumberFormat="1" applyFont="1" applyFill="1" applyBorder="1" applyAlignment="1">
      <alignment horizontal="center"/>
    </xf>
    <xf numFmtId="3" fontId="40" fillId="0" borderId="51" xfId="0" applyNumberFormat="1" applyFont="1" applyFill="1" applyBorder="1" applyAlignment="1">
      <alignment horizontal="center" vertical="center"/>
    </xf>
    <xf numFmtId="0" fontId="40" fillId="0" borderId="20" xfId="0" applyFont="1" applyFill="1" applyBorder="1" applyAlignment="1">
      <alignment horizontal="center"/>
    </xf>
    <xf numFmtId="2" fontId="40" fillId="0" borderId="20" xfId="1" applyNumberFormat="1" applyFont="1" applyFill="1" applyBorder="1" applyAlignment="1">
      <alignment horizontal="center" vertical="center"/>
    </xf>
    <xf numFmtId="0" fontId="0" fillId="0" borderId="20" xfId="0" applyFont="1" applyBorder="1"/>
    <xf numFmtId="0" fontId="40" fillId="0" borderId="13" xfId="0" applyFont="1" applyFill="1" applyBorder="1" applyAlignment="1">
      <alignment horizontal="left" wrapText="1"/>
    </xf>
    <xf numFmtId="0" fontId="40" fillId="0" borderId="17" xfId="0" applyFont="1" applyFill="1" applyBorder="1" applyAlignment="1">
      <alignment horizontal="right" wrapText="1"/>
    </xf>
    <xf numFmtId="0" fontId="41" fillId="0" borderId="0" xfId="0" applyFont="1" applyFill="1" applyBorder="1"/>
    <xf numFmtId="2" fontId="40" fillId="0" borderId="21" xfId="1" applyNumberFormat="1" applyFont="1" applyFill="1" applyBorder="1" applyAlignment="1">
      <alignment horizontal="center" vertical="center"/>
    </xf>
    <xf numFmtId="3" fontId="40" fillId="0" borderId="20" xfId="0" applyNumberFormat="1" applyFont="1" applyFill="1" applyBorder="1" applyAlignment="1">
      <alignment horizontal="center" vertical="center"/>
    </xf>
    <xf numFmtId="3" fontId="40" fillId="0" borderId="22" xfId="0" applyNumberFormat="1" applyFont="1" applyFill="1" applyBorder="1" applyAlignment="1">
      <alignment horizontal="center"/>
    </xf>
    <xf numFmtId="0" fontId="0" fillId="0" borderId="62" xfId="0" applyFont="1" applyBorder="1" applyAlignment="1">
      <alignment horizontal="right"/>
    </xf>
    <xf numFmtId="0" fontId="0" fillId="0" borderId="0" xfId="0" applyFont="1" applyBorder="1"/>
    <xf numFmtId="0" fontId="0" fillId="0" borderId="61" xfId="0" applyFont="1" applyBorder="1"/>
    <xf numFmtId="0" fontId="44" fillId="7" borderId="55" xfId="0" applyFont="1" applyFill="1" applyBorder="1" applyAlignment="1">
      <alignment horizontal="center" vertical="center"/>
    </xf>
    <xf numFmtId="0" fontId="45" fillId="0" borderId="5" xfId="0" applyFont="1" applyBorder="1" applyAlignment="1">
      <alignment horizontal="right"/>
    </xf>
    <xf numFmtId="0" fontId="46" fillId="0" borderId="7" xfId="0" applyFont="1" applyFill="1" applyBorder="1" applyAlignment="1">
      <alignment horizontal="right" vertical="center" wrapText="1"/>
    </xf>
    <xf numFmtId="0" fontId="46" fillId="0" borderId="7" xfId="0" applyFont="1" applyFill="1" applyBorder="1" applyAlignment="1">
      <alignment horizontal="right" wrapText="1"/>
    </xf>
    <xf numFmtId="0" fontId="46" fillId="0" borderId="7" xfId="0" applyFont="1" applyFill="1" applyBorder="1" applyAlignment="1">
      <alignment horizontal="right"/>
    </xf>
    <xf numFmtId="0" fontId="45" fillId="0" borderId="19" xfId="0" applyFont="1" applyBorder="1" applyAlignment="1">
      <alignment horizontal="right"/>
    </xf>
    <xf numFmtId="2" fontId="40" fillId="0" borderId="12" xfId="0" applyNumberFormat="1" applyFont="1" applyFill="1" applyBorder="1" applyAlignment="1">
      <alignment horizontal="right" wrapText="1"/>
    </xf>
    <xf numFmtId="3" fontId="40" fillId="0" borderId="13" xfId="0" applyNumberFormat="1" applyFont="1" applyFill="1" applyBorder="1" applyAlignment="1">
      <alignment wrapText="1"/>
    </xf>
    <xf numFmtId="0" fontId="0" fillId="0" borderId="52" xfId="0" applyFont="1" applyBorder="1"/>
    <xf numFmtId="0" fontId="19" fillId="0" borderId="12" xfId="0" applyFont="1" applyFill="1" applyBorder="1" applyAlignment="1"/>
    <xf numFmtId="0" fontId="19" fillId="0" borderId="12" xfId="0" applyFont="1" applyFill="1" applyBorder="1" applyAlignment="1">
      <alignment horizontal="left"/>
    </xf>
    <xf numFmtId="0" fontId="14" fillId="0" borderId="12" xfId="0" applyFont="1" applyFill="1" applyBorder="1" applyAlignment="1"/>
    <xf numFmtId="0" fontId="15" fillId="0" borderId="12" xfId="0" applyFont="1" applyFill="1" applyBorder="1" applyAlignment="1"/>
    <xf numFmtId="0" fontId="14" fillId="0" borderId="12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40" xfId="0" applyFont="1" applyBorder="1" applyAlignment="1">
      <alignment wrapText="1"/>
    </xf>
    <xf numFmtId="0" fontId="15" fillId="0" borderId="51" xfId="0" applyFont="1" applyFill="1" applyBorder="1" applyAlignment="1">
      <alignment horizontal="left"/>
    </xf>
    <xf numFmtId="0" fontId="14" fillId="0" borderId="13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 wrapText="1"/>
    </xf>
    <xf numFmtId="2" fontId="15" fillId="0" borderId="12" xfId="0" applyNumberFormat="1" applyFont="1" applyFill="1" applyBorder="1" applyAlignment="1">
      <alignment wrapText="1"/>
    </xf>
    <xf numFmtId="3" fontId="15" fillId="0" borderId="13" xfId="0" applyNumberFormat="1" applyFont="1" applyFill="1" applyBorder="1" applyAlignment="1">
      <alignment horizontal="right" wrapText="1"/>
    </xf>
    <xf numFmtId="0" fontId="14" fillId="0" borderId="40" xfId="0" applyFont="1" applyFill="1" applyBorder="1" applyAlignment="1">
      <alignment horizontal="center"/>
    </xf>
    <xf numFmtId="3" fontId="15" fillId="0" borderId="15" xfId="0" applyNumberFormat="1" applyFont="1" applyFill="1" applyBorder="1" applyAlignment="1">
      <alignment horizontal="right" wrapText="1"/>
    </xf>
    <xf numFmtId="0" fontId="15" fillId="0" borderId="12" xfId="0" applyNumberFormat="1" applyFont="1" applyFill="1" applyBorder="1" applyAlignment="1">
      <alignment horizontal="left" wrapText="1"/>
    </xf>
    <xf numFmtId="2" fontId="15" fillId="0" borderId="14" xfId="1" applyNumberFormat="1" applyFont="1" applyFill="1" applyBorder="1" applyAlignment="1">
      <alignment horizontal="right" wrapText="1"/>
    </xf>
    <xf numFmtId="0" fontId="15" fillId="0" borderId="40" xfId="0" applyNumberFormat="1" applyFont="1" applyFill="1" applyBorder="1" applyAlignment="1">
      <alignment horizontal="left" wrapText="1"/>
    </xf>
    <xf numFmtId="0" fontId="14" fillId="0" borderId="65" xfId="0" applyFont="1" applyFill="1" applyBorder="1" applyAlignment="1">
      <alignment horizontal="center"/>
    </xf>
    <xf numFmtId="0" fontId="14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2" fontId="15" fillId="0" borderId="14" xfId="1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2" fontId="15" fillId="0" borderId="14" xfId="1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center"/>
    </xf>
    <xf numFmtId="0" fontId="15" fillId="0" borderId="33" xfId="0" applyFont="1" applyFill="1" applyBorder="1" applyAlignment="1">
      <alignment horizontal="left" wrapText="1"/>
    </xf>
    <xf numFmtId="2" fontId="15" fillId="0" borderId="34" xfId="1" applyNumberFormat="1" applyFont="1" applyFill="1" applyBorder="1" applyAlignment="1">
      <alignment horizontal="right"/>
    </xf>
    <xf numFmtId="3" fontId="15" fillId="0" borderId="33" xfId="0" applyNumberFormat="1" applyFont="1" applyFill="1" applyBorder="1" applyAlignment="1">
      <alignment horizontal="right"/>
    </xf>
    <xf numFmtId="0" fontId="15" fillId="0" borderId="46" xfId="0" applyFont="1" applyFill="1" applyBorder="1" applyAlignment="1">
      <alignment horizontal="right"/>
    </xf>
    <xf numFmtId="0" fontId="15" fillId="0" borderId="56" xfId="0" applyNumberFormat="1" applyFont="1" applyFill="1" applyBorder="1" applyAlignment="1">
      <alignment horizontal="left" wrapText="1"/>
    </xf>
    <xf numFmtId="0" fontId="15" fillId="0" borderId="56" xfId="0" applyFont="1" applyFill="1" applyBorder="1" applyAlignment="1">
      <alignment horizontal="center"/>
    </xf>
    <xf numFmtId="2" fontId="15" fillId="0" borderId="56" xfId="1" applyNumberFormat="1" applyFont="1" applyFill="1" applyBorder="1" applyAlignment="1">
      <alignment horizontal="right"/>
    </xf>
    <xf numFmtId="3" fontId="15" fillId="0" borderId="56" xfId="0" applyNumberFormat="1" applyFont="1" applyFill="1" applyBorder="1" applyAlignment="1">
      <alignment horizontal="right"/>
    </xf>
    <xf numFmtId="0" fontId="14" fillId="0" borderId="45" xfId="0" applyFont="1" applyFill="1" applyBorder="1" applyAlignment="1">
      <alignment horizontal="right"/>
    </xf>
    <xf numFmtId="0" fontId="14" fillId="0" borderId="47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wrapText="1"/>
    </xf>
    <xf numFmtId="0" fontId="15" fillId="0" borderId="17" xfId="0" applyFont="1" applyFill="1" applyBorder="1" applyAlignment="1">
      <alignment horizontal="right" wrapText="1"/>
    </xf>
    <xf numFmtId="0" fontId="14" fillId="0" borderId="46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36" fillId="0" borderId="67" xfId="0" applyFont="1" applyBorder="1" applyAlignment="1">
      <alignment horizontal="center" vertical="center"/>
    </xf>
    <xf numFmtId="0" fontId="10" fillId="9" borderId="38" xfId="0" applyFont="1" applyFill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36" fillId="0" borderId="69" xfId="0" applyFont="1" applyBorder="1" applyAlignment="1">
      <alignment horizontal="center" vertical="center"/>
    </xf>
    <xf numFmtId="0" fontId="36" fillId="0" borderId="68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 wrapText="1"/>
    </xf>
    <xf numFmtId="0" fontId="36" fillId="0" borderId="71" xfId="0" applyFont="1" applyBorder="1" applyAlignment="1">
      <alignment horizontal="center" vertical="center"/>
    </xf>
    <xf numFmtId="0" fontId="36" fillId="0" borderId="70" xfId="0" applyFont="1" applyBorder="1" applyAlignment="1">
      <alignment horizontal="center" vertical="center"/>
    </xf>
    <xf numFmtId="0" fontId="10" fillId="9" borderId="72" xfId="0" applyFont="1" applyFill="1" applyBorder="1" applyAlignment="1">
      <alignment horizontal="center" vertical="center"/>
    </xf>
    <xf numFmtId="0" fontId="36" fillId="0" borderId="73" xfId="0" applyFont="1" applyBorder="1" applyAlignment="1">
      <alignment wrapText="1"/>
    </xf>
    <xf numFmtId="0" fontId="36" fillId="0" borderId="74" xfId="0" applyFont="1" applyBorder="1" applyAlignment="1">
      <alignment wrapText="1"/>
    </xf>
    <xf numFmtId="0" fontId="10" fillId="9" borderId="77" xfId="0" applyFont="1" applyFill="1" applyBorder="1" applyAlignment="1">
      <alignment horizontal="center" vertical="center"/>
    </xf>
    <xf numFmtId="0" fontId="36" fillId="0" borderId="80" xfId="0" applyFont="1" applyBorder="1" applyAlignment="1">
      <alignment wrapText="1"/>
    </xf>
    <xf numFmtId="0" fontId="36" fillId="0" borderId="82" xfId="0" applyFont="1" applyBorder="1" applyAlignment="1">
      <alignment wrapText="1"/>
    </xf>
    <xf numFmtId="0" fontId="47" fillId="0" borderId="83" xfId="0" applyFont="1" applyBorder="1" applyAlignment="1">
      <alignment horizontal="center" vertical="center"/>
    </xf>
    <xf numFmtId="0" fontId="36" fillId="0" borderId="79" xfId="0" applyFont="1" applyBorder="1" applyAlignment="1">
      <alignment wrapText="1"/>
    </xf>
    <xf numFmtId="0" fontId="36" fillId="0" borderId="80" xfId="0" applyFont="1" applyBorder="1" applyAlignment="1">
      <alignment vertical="center" wrapText="1"/>
    </xf>
    <xf numFmtId="0" fontId="47" fillId="0" borderId="78" xfId="0" applyFont="1" applyBorder="1" applyAlignment="1">
      <alignment horizontal="center" vertical="center"/>
    </xf>
    <xf numFmtId="0" fontId="36" fillId="0" borderId="87" xfId="0" applyFont="1" applyBorder="1" applyAlignment="1">
      <alignment horizontal="left" vertical="center"/>
    </xf>
    <xf numFmtId="0" fontId="36" fillId="0" borderId="86" xfId="0" applyFont="1" applyBorder="1" applyAlignment="1">
      <alignment horizontal="left" vertical="center"/>
    </xf>
    <xf numFmtId="0" fontId="36" fillId="0" borderId="88" xfId="0" applyFont="1" applyBorder="1" applyAlignment="1">
      <alignment horizontal="center" vertical="center"/>
    </xf>
    <xf numFmtId="0" fontId="36" fillId="0" borderId="0" xfId="0" applyFont="1" applyBorder="1"/>
    <xf numFmtId="0" fontId="36" fillId="0" borderId="92" xfId="0" applyFont="1" applyBorder="1" applyAlignment="1">
      <alignment horizontal="center" vertical="center"/>
    </xf>
    <xf numFmtId="0" fontId="36" fillId="0" borderId="93" xfId="0" applyFont="1" applyBorder="1" applyAlignment="1">
      <alignment wrapText="1"/>
    </xf>
    <xf numFmtId="3" fontId="36" fillId="0" borderId="94" xfId="0" applyNumberFormat="1" applyFont="1" applyBorder="1" applyAlignment="1">
      <alignment horizontal="center" wrapText="1"/>
    </xf>
    <xf numFmtId="0" fontId="36" fillId="0" borderId="93" xfId="0" applyFont="1" applyBorder="1" applyAlignment="1">
      <alignment vertical="center"/>
    </xf>
    <xf numFmtId="0" fontId="36" fillId="0" borderId="93" xfId="0" applyFont="1" applyBorder="1" applyAlignment="1">
      <alignment horizontal="left" vertical="center" wrapText="1"/>
    </xf>
    <xf numFmtId="3" fontId="36" fillId="0" borderId="94" xfId="0" applyNumberFormat="1" applyFont="1" applyFill="1" applyBorder="1" applyAlignment="1">
      <alignment horizontal="center"/>
    </xf>
    <xf numFmtId="0" fontId="36" fillId="0" borderId="93" xfId="0" applyFont="1" applyBorder="1" applyAlignment="1">
      <alignment vertical="center" wrapText="1"/>
    </xf>
    <xf numFmtId="0" fontId="36" fillId="0" borderId="89" xfId="0" applyFont="1" applyBorder="1" applyAlignment="1">
      <alignment horizontal="center" vertical="center"/>
    </xf>
    <xf numFmtId="0" fontId="36" fillId="0" borderId="90" xfId="0" applyFont="1" applyBorder="1" applyAlignment="1">
      <alignment horizontal="center" vertical="center"/>
    </xf>
    <xf numFmtId="0" fontId="36" fillId="0" borderId="90" xfId="0" applyFont="1" applyBorder="1" applyAlignment="1">
      <alignment horizontal="left" vertical="center"/>
    </xf>
    <xf numFmtId="3" fontId="47" fillId="0" borderId="91" xfId="0" applyNumberFormat="1" applyFont="1" applyFill="1" applyBorder="1" applyAlignment="1">
      <alignment horizontal="center"/>
    </xf>
    <xf numFmtId="3" fontId="47" fillId="3" borderId="98" xfId="0" applyNumberFormat="1" applyFont="1" applyFill="1" applyBorder="1" applyAlignment="1">
      <alignment horizontal="center"/>
    </xf>
    <xf numFmtId="0" fontId="36" fillId="0" borderId="99" xfId="0" applyFont="1" applyBorder="1" applyAlignment="1">
      <alignment vertical="center"/>
    </xf>
    <xf numFmtId="0" fontId="36" fillId="0" borderId="78" xfId="0" applyFont="1" applyBorder="1" applyAlignment="1">
      <alignment vertical="center"/>
    </xf>
    <xf numFmtId="0" fontId="48" fillId="8" borderId="78" xfId="0" applyFont="1" applyFill="1" applyBorder="1" applyAlignment="1">
      <alignment horizontal="right" vertical="center"/>
    </xf>
    <xf numFmtId="3" fontId="47" fillId="8" borderId="95" xfId="0" applyNumberFormat="1" applyFont="1" applyFill="1" applyBorder="1" applyAlignment="1">
      <alignment horizontal="center"/>
    </xf>
    <xf numFmtId="0" fontId="36" fillId="0" borderId="100" xfId="0" applyFont="1" applyBorder="1" applyAlignment="1">
      <alignment horizontal="center" vertical="center"/>
    </xf>
    <xf numFmtId="0" fontId="36" fillId="0" borderId="101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left" vertical="center" wrapText="1"/>
    </xf>
    <xf numFmtId="3" fontId="36" fillId="0" borderId="102" xfId="0" applyNumberFormat="1" applyFont="1" applyBorder="1" applyAlignment="1">
      <alignment horizontal="center" wrapText="1"/>
    </xf>
    <xf numFmtId="0" fontId="36" fillId="0" borderId="103" xfId="0" applyFont="1" applyBorder="1" applyAlignment="1">
      <alignment vertical="center"/>
    </xf>
    <xf numFmtId="0" fontId="36" fillId="0" borderId="81" xfId="0" applyFont="1" applyBorder="1" applyAlignment="1">
      <alignment vertical="center"/>
    </xf>
    <xf numFmtId="0" fontId="48" fillId="8" borderId="81" xfId="0" applyFont="1" applyFill="1" applyBorder="1" applyAlignment="1">
      <alignment horizontal="right" vertical="center"/>
    </xf>
    <xf numFmtId="3" fontId="47" fillId="8" borderId="104" xfId="0" applyNumberFormat="1" applyFont="1" applyFill="1" applyBorder="1" applyAlignment="1">
      <alignment horizontal="center"/>
    </xf>
    <xf numFmtId="3" fontId="36" fillId="0" borderId="105" xfId="0" applyNumberFormat="1" applyFont="1" applyBorder="1" applyAlignment="1">
      <alignment horizontal="center" wrapText="1"/>
    </xf>
    <xf numFmtId="0" fontId="36" fillId="0" borderId="101" xfId="0" applyFont="1" applyBorder="1" applyAlignment="1">
      <alignment horizontal="center" vertical="center"/>
    </xf>
    <xf numFmtId="3" fontId="47" fillId="0" borderId="106" xfId="0" applyNumberFormat="1" applyFont="1" applyFill="1" applyBorder="1" applyAlignment="1">
      <alignment horizontal="center"/>
    </xf>
    <xf numFmtId="0" fontId="36" fillId="0" borderId="84" xfId="0" applyFont="1" applyBorder="1" applyAlignment="1">
      <alignment wrapText="1"/>
    </xf>
    <xf numFmtId="0" fontId="10" fillId="9" borderId="107" xfId="0" applyFont="1" applyFill="1" applyBorder="1" applyAlignment="1">
      <alignment horizontal="center" vertical="center"/>
    </xf>
    <xf numFmtId="0" fontId="10" fillId="9" borderId="108" xfId="0" applyFont="1" applyFill="1" applyBorder="1" applyAlignment="1">
      <alignment horizontal="center" vertical="center"/>
    </xf>
    <xf numFmtId="0" fontId="36" fillId="0" borderId="42" xfId="0" applyFont="1" applyBorder="1"/>
    <xf numFmtId="0" fontId="0" fillId="0" borderId="0" xfId="0"/>
    <xf numFmtId="3" fontId="5" fillId="0" borderId="18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2" fontId="14" fillId="0" borderId="10" xfId="1" applyNumberFormat="1" applyFont="1" applyFill="1" applyBorder="1" applyAlignment="1">
      <alignment horizontal="center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3" fontId="15" fillId="0" borderId="31" xfId="0" applyNumberFormat="1" applyFont="1" applyFill="1" applyBorder="1" applyAlignment="1">
      <alignment horizontal="right" wrapText="1"/>
    </xf>
    <xf numFmtId="3" fontId="15" fillId="0" borderId="15" xfId="0" applyNumberFormat="1" applyFont="1" applyFill="1" applyBorder="1" applyAlignment="1">
      <alignment horizontal="center" wrapText="1"/>
    </xf>
    <xf numFmtId="0" fontId="30" fillId="0" borderId="62" xfId="0" applyFont="1" applyBorder="1" applyAlignment="1">
      <alignment horizontal="right"/>
    </xf>
    <xf numFmtId="0" fontId="30" fillId="0" borderId="5" xfId="0" applyFont="1" applyBorder="1" applyAlignment="1">
      <alignment horizontal="right"/>
    </xf>
    <xf numFmtId="0" fontId="0" fillId="0" borderId="0" xfId="0"/>
    <xf numFmtId="3" fontId="5" fillId="0" borderId="18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right" wrapText="1"/>
    </xf>
    <xf numFmtId="0" fontId="30" fillId="0" borderId="13" xfId="0" applyFont="1" applyBorder="1" applyAlignment="1">
      <alignment horizontal="center" wrapText="1"/>
    </xf>
    <xf numFmtId="0" fontId="30" fillId="0" borderId="7" xfId="0" applyFont="1" applyBorder="1" applyAlignment="1">
      <alignment horizontal="right" wrapText="1"/>
    </xf>
    <xf numFmtId="4" fontId="15" fillId="4" borderId="13" xfId="1" applyNumberFormat="1" applyFont="1" applyFill="1" applyBorder="1" applyAlignment="1">
      <alignment horizontal="right" wrapText="1"/>
    </xf>
    <xf numFmtId="3" fontId="15" fillId="0" borderId="13" xfId="2" applyNumberFormat="1" applyFont="1" applyBorder="1" applyAlignment="1">
      <alignment horizontal="right" wrapText="1"/>
    </xf>
    <xf numFmtId="3" fontId="16" fillId="0" borderId="59" xfId="0" applyNumberFormat="1" applyFont="1" applyFill="1" applyBorder="1" applyAlignment="1">
      <alignment horizontal="center" wrapText="1"/>
    </xf>
    <xf numFmtId="0" fontId="28" fillId="0" borderId="33" xfId="0" applyFont="1" applyBorder="1" applyAlignment="1">
      <alignment wrapText="1"/>
    </xf>
    <xf numFmtId="0" fontId="14" fillId="0" borderId="30" xfId="0" applyFont="1" applyFill="1" applyBorder="1" applyAlignment="1">
      <alignment horizontal="center" vertical="center" wrapText="1"/>
    </xf>
    <xf numFmtId="0" fontId="30" fillId="0" borderId="46" xfId="0" applyFont="1" applyBorder="1" applyAlignment="1">
      <alignment horizontal="right"/>
    </xf>
    <xf numFmtId="0" fontId="14" fillId="8" borderId="55" xfId="0" applyFont="1" applyFill="1" applyBorder="1" applyAlignment="1">
      <alignment horizontal="center" vertical="center" wrapText="1"/>
    </xf>
    <xf numFmtId="0" fontId="14" fillId="8" borderId="111" xfId="0" applyFont="1" applyFill="1" applyBorder="1" applyAlignment="1">
      <alignment horizontal="center" vertical="center" wrapText="1"/>
    </xf>
    <xf numFmtId="0" fontId="14" fillId="8" borderId="60" xfId="0" applyFont="1" applyFill="1" applyBorder="1" applyAlignment="1">
      <alignment horizontal="center" vertical="center" wrapText="1"/>
    </xf>
    <xf numFmtId="2" fontId="14" fillId="8" borderId="112" xfId="1" applyNumberFormat="1" applyFont="1" applyFill="1" applyBorder="1" applyAlignment="1">
      <alignment horizontal="center" vertical="center" wrapText="1"/>
    </xf>
    <xf numFmtId="3" fontId="14" fillId="8" borderId="60" xfId="0" applyNumberFormat="1" applyFont="1" applyFill="1" applyBorder="1" applyAlignment="1">
      <alignment horizontal="center" vertical="center" wrapText="1"/>
    </xf>
    <xf numFmtId="3" fontId="14" fillId="8" borderId="72" xfId="0" applyNumberFormat="1" applyFont="1" applyFill="1" applyBorder="1" applyAlignment="1">
      <alignment horizontal="center" vertical="center" wrapText="1"/>
    </xf>
    <xf numFmtId="1" fontId="14" fillId="0" borderId="5" xfId="0" applyNumberFormat="1" applyFont="1" applyBorder="1" applyAlignment="1">
      <alignment horizontal="right" wrapText="1"/>
    </xf>
    <xf numFmtId="0" fontId="0" fillId="0" borderId="0" xfId="0" applyAlignment="1"/>
    <xf numFmtId="0" fontId="14" fillId="0" borderId="3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9" xfId="0" applyFont="1" applyFill="1" applyBorder="1" applyAlignment="1">
      <alignment horizontal="center" wrapText="1"/>
    </xf>
    <xf numFmtId="2" fontId="14" fillId="0" borderId="10" xfId="1" applyNumberFormat="1" applyFont="1" applyFill="1" applyBorder="1" applyAlignment="1">
      <alignment horizontal="center" wrapText="1"/>
    </xf>
    <xf numFmtId="3" fontId="14" fillId="0" borderId="9" xfId="0" applyNumberFormat="1" applyFont="1" applyFill="1" applyBorder="1" applyAlignment="1">
      <alignment horizontal="center" wrapText="1"/>
    </xf>
    <xf numFmtId="3" fontId="14" fillId="0" borderId="11" xfId="0" applyNumberFormat="1" applyFont="1" applyFill="1" applyBorder="1" applyAlignment="1">
      <alignment horizontal="center" wrapText="1"/>
    </xf>
    <xf numFmtId="0" fontId="21" fillId="0" borderId="0" xfId="0" applyFont="1" applyAlignment="1"/>
    <xf numFmtId="0" fontId="14" fillId="0" borderId="7" xfId="0" applyFont="1" applyFill="1" applyBorder="1" applyAlignment="1">
      <alignment horizontal="center" wrapText="1"/>
    </xf>
    <xf numFmtId="0" fontId="15" fillId="0" borderId="14" xfId="0" applyFont="1" applyBorder="1" applyAlignment="1">
      <alignment horizontal="center" wrapText="1"/>
    </xf>
    <xf numFmtId="2" fontId="15" fillId="0" borderId="21" xfId="1" applyNumberFormat="1" applyFont="1" applyFill="1" applyBorder="1" applyAlignment="1">
      <alignment horizontal="center" wrapText="1"/>
    </xf>
    <xf numFmtId="3" fontId="15" fillId="0" borderId="20" xfId="0" applyNumberFormat="1" applyFont="1" applyFill="1" applyBorder="1" applyAlignment="1">
      <alignment horizontal="right" wrapText="1"/>
    </xf>
    <xf numFmtId="1" fontId="15" fillId="0" borderId="7" xfId="0" applyNumberFormat="1" applyFont="1" applyBorder="1" applyAlignment="1">
      <alignment horizontal="right" wrapText="1"/>
    </xf>
    <xf numFmtId="0" fontId="15" fillId="0" borderId="16" xfId="0" applyFont="1" applyFill="1" applyBorder="1" applyAlignment="1">
      <alignment horizontal="left" wrapText="1"/>
    </xf>
    <xf numFmtId="0" fontId="15" fillId="0" borderId="13" xfId="0" applyFont="1" applyBorder="1" applyAlignment="1">
      <alignment horizontal="center" wrapText="1"/>
    </xf>
    <xf numFmtId="0" fontId="15" fillId="0" borderId="13" xfId="0" applyFont="1" applyBorder="1" applyAlignment="1">
      <alignment horizontal="center"/>
    </xf>
    <xf numFmtId="2" fontId="15" fillId="0" borderId="12" xfId="1" applyNumberFormat="1" applyFont="1" applyFill="1" applyBorder="1" applyAlignment="1">
      <alignment horizontal="right"/>
    </xf>
    <xf numFmtId="0" fontId="15" fillId="0" borderId="33" xfId="0" applyFont="1" applyBorder="1" applyAlignment="1">
      <alignment horizontal="center"/>
    </xf>
    <xf numFmtId="2" fontId="15" fillId="0" borderId="40" xfId="1" applyNumberFormat="1" applyFont="1" applyFill="1" applyBorder="1" applyAlignment="1">
      <alignment horizontal="right"/>
    </xf>
    <xf numFmtId="3" fontId="15" fillId="0" borderId="22" xfId="0" applyNumberFormat="1" applyFont="1" applyFill="1" applyBorder="1" applyAlignment="1">
      <alignment horizontal="center" wrapText="1"/>
    </xf>
    <xf numFmtId="3" fontId="14" fillId="0" borderId="31" xfId="0" applyNumberFormat="1" applyFont="1" applyFill="1" applyBorder="1" applyAlignment="1">
      <alignment horizontal="right" wrapText="1"/>
    </xf>
    <xf numFmtId="3" fontId="14" fillId="0" borderId="15" xfId="0" applyNumberFormat="1" applyFont="1" applyFill="1" applyBorder="1" applyAlignment="1">
      <alignment horizontal="center" wrapText="1"/>
    </xf>
    <xf numFmtId="3" fontId="14" fillId="0" borderId="22" xfId="0" applyNumberFormat="1" applyFont="1" applyFill="1" applyBorder="1" applyAlignment="1">
      <alignment horizontal="right" wrapText="1"/>
    </xf>
    <xf numFmtId="0" fontId="30" fillId="0" borderId="0" xfId="0" applyFont="1" applyBorder="1" applyAlignment="1"/>
    <xf numFmtId="0" fontId="30" fillId="0" borderId="31" xfId="0" applyFont="1" applyBorder="1" applyAlignment="1"/>
    <xf numFmtId="0" fontId="30" fillId="0" borderId="56" xfId="0" applyFont="1" applyBorder="1" applyAlignment="1"/>
    <xf numFmtId="0" fontId="30" fillId="0" borderId="110" xfId="0" applyFont="1" applyBorder="1" applyAlignment="1"/>
    <xf numFmtId="0" fontId="30" fillId="0" borderId="0" xfId="0" applyFont="1" applyAlignment="1"/>
    <xf numFmtId="0" fontId="30" fillId="0" borderId="61" xfId="0" applyFont="1" applyBorder="1" applyAlignment="1"/>
    <xf numFmtId="0" fontId="16" fillId="5" borderId="12" xfId="0" applyFont="1" applyFill="1" applyBorder="1" applyAlignment="1"/>
    <xf numFmtId="0" fontId="14" fillId="0" borderId="8" xfId="0" applyFont="1" applyFill="1" applyBorder="1" applyAlignment="1">
      <alignment horizontal="center"/>
    </xf>
    <xf numFmtId="0" fontId="16" fillId="0" borderId="46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3" fontId="16" fillId="0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30" fillId="0" borderId="14" xfId="0" applyFont="1" applyBorder="1" applyAlignment="1"/>
    <xf numFmtId="3" fontId="15" fillId="0" borderId="11" xfId="0" applyNumberFormat="1" applyFont="1" applyFill="1" applyBorder="1" applyAlignment="1">
      <alignment horizontal="center" wrapText="1"/>
    </xf>
    <xf numFmtId="2" fontId="16" fillId="0" borderId="21" xfId="0" applyNumberFormat="1" applyFont="1" applyFill="1" applyBorder="1" applyAlignment="1">
      <alignment horizontal="center" wrapText="1"/>
    </xf>
    <xf numFmtId="2" fontId="16" fillId="0" borderId="21" xfId="1" applyNumberFormat="1" applyFont="1" applyFill="1" applyBorder="1" applyAlignment="1">
      <alignment horizontal="center" wrapText="1"/>
    </xf>
    <xf numFmtId="3" fontId="16" fillId="0" borderId="20" xfId="0" applyNumberFormat="1" applyFont="1" applyFill="1" applyBorder="1" applyAlignment="1">
      <alignment horizontal="center" wrapText="1"/>
    </xf>
    <xf numFmtId="3" fontId="16" fillId="0" borderId="31" xfId="0" applyNumberFormat="1" applyFont="1" applyFill="1" applyBorder="1" applyAlignment="1">
      <alignment horizontal="center" wrapText="1"/>
    </xf>
    <xf numFmtId="2" fontId="16" fillId="0" borderId="8" xfId="0" applyNumberFormat="1" applyFont="1" applyFill="1" applyBorder="1" applyAlignment="1">
      <alignment horizontal="left" wrapText="1"/>
    </xf>
    <xf numFmtId="2" fontId="15" fillId="0" borderId="8" xfId="0" applyNumberFormat="1" applyFont="1" applyFill="1" applyBorder="1" applyAlignment="1">
      <alignment horizontal="left" wrapText="1"/>
    </xf>
    <xf numFmtId="2" fontId="15" fillId="0" borderId="21" xfId="0" applyNumberFormat="1" applyFont="1" applyFill="1" applyBorder="1" applyAlignment="1">
      <alignment horizontal="center" wrapText="1"/>
    </xf>
    <xf numFmtId="2" fontId="15" fillId="0" borderId="21" xfId="1" applyNumberFormat="1" applyFont="1" applyFill="1" applyBorder="1" applyAlignment="1">
      <alignment horizontal="right" wrapText="1"/>
    </xf>
    <xf numFmtId="0" fontId="37" fillId="8" borderId="10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1" fontId="40" fillId="0" borderId="5" xfId="0" applyNumberFormat="1" applyFont="1" applyBorder="1" applyAlignment="1">
      <alignment horizontal="right" vertical="center" wrapText="1"/>
    </xf>
    <xf numFmtId="0" fontId="36" fillId="0" borderId="53" xfId="0" applyFont="1" applyBorder="1" applyAlignment="1">
      <alignment horizontal="right"/>
    </xf>
    <xf numFmtId="0" fontId="0" fillId="0" borderId="31" xfId="0" applyFont="1" applyBorder="1"/>
    <xf numFmtId="0" fontId="0" fillId="0" borderId="110" xfId="0" applyFont="1" applyBorder="1"/>
    <xf numFmtId="3" fontId="41" fillId="0" borderId="31" xfId="0" applyNumberFormat="1" applyFont="1" applyFill="1" applyBorder="1" applyAlignment="1">
      <alignment horizontal="center" vertical="center" wrapText="1"/>
    </xf>
    <xf numFmtId="0" fontId="38" fillId="0" borderId="12" xfId="0" applyFont="1" applyFill="1" applyBorder="1" applyAlignment="1"/>
    <xf numFmtId="0" fontId="38" fillId="0" borderId="12" xfId="0" applyFont="1" applyBorder="1" applyAlignment="1">
      <alignment wrapText="1"/>
    </xf>
    <xf numFmtId="0" fontId="40" fillId="0" borderId="19" xfId="0" applyFont="1" applyFill="1" applyBorder="1" applyAlignment="1">
      <alignment horizontal="right" wrapText="1"/>
    </xf>
    <xf numFmtId="0" fontId="40" fillId="0" borderId="33" xfId="0" applyFont="1" applyBorder="1" applyAlignment="1">
      <alignment horizontal="center" vertical="center" wrapText="1"/>
    </xf>
    <xf numFmtId="2" fontId="40" fillId="0" borderId="40" xfId="1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0" fontId="16" fillId="0" borderId="29" xfId="0" applyFont="1" applyFill="1" applyBorder="1" applyAlignment="1">
      <alignment horizontal="center"/>
    </xf>
    <xf numFmtId="0" fontId="38" fillId="0" borderId="46" xfId="0" applyFont="1" applyFill="1" applyBorder="1" applyAlignment="1">
      <alignment horizontal="center"/>
    </xf>
    <xf numFmtId="0" fontId="40" fillId="0" borderId="32" xfId="0" applyFont="1" applyFill="1" applyBorder="1" applyAlignment="1">
      <alignment horizontal="right" wrapText="1"/>
    </xf>
    <xf numFmtId="0" fontId="36" fillId="0" borderId="33" xfId="0" applyFont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3" fontId="40" fillId="0" borderId="13" xfId="0" applyNumberFormat="1" applyFont="1" applyFill="1" applyBorder="1" applyAlignment="1">
      <alignment horizontal="right" vertical="center" wrapText="1"/>
    </xf>
    <xf numFmtId="0" fontId="38" fillId="5" borderId="17" xfId="0" applyFont="1" applyFill="1" applyBorder="1" applyAlignment="1">
      <alignment horizontal="right"/>
    </xf>
    <xf numFmtId="0" fontId="38" fillId="5" borderId="13" xfId="0" applyFont="1" applyFill="1" applyBorder="1" applyAlignment="1">
      <alignment horizontal="left"/>
    </xf>
    <xf numFmtId="0" fontId="16" fillId="5" borderId="17" xfId="0" applyFont="1" applyFill="1" applyBorder="1" applyAlignment="1">
      <alignment horizontal="right"/>
    </xf>
    <xf numFmtId="0" fontId="38" fillId="0" borderId="28" xfId="0" applyFont="1" applyFill="1" applyBorder="1" applyAlignment="1">
      <alignment horizontal="center"/>
    </xf>
    <xf numFmtId="2" fontId="40" fillId="0" borderId="13" xfId="1" applyNumberFormat="1" applyFont="1" applyFill="1" applyBorder="1" applyAlignment="1">
      <alignment horizontal="right" wrapText="1"/>
    </xf>
    <xf numFmtId="2" fontId="36" fillId="0" borderId="20" xfId="0" applyNumberFormat="1" applyFont="1" applyBorder="1" applyAlignment="1">
      <alignment wrapText="1"/>
    </xf>
    <xf numFmtId="3" fontId="40" fillId="0" borderId="56" xfId="0" applyNumberFormat="1" applyFont="1" applyFill="1" applyBorder="1" applyAlignment="1">
      <alignment horizontal="center" vertical="center"/>
    </xf>
    <xf numFmtId="3" fontId="37" fillId="0" borderId="31" xfId="0" applyNumberFormat="1" applyFont="1" applyFill="1" applyBorder="1" applyAlignment="1">
      <alignment horizontal="right" vertical="center" wrapText="1"/>
    </xf>
    <xf numFmtId="4" fontId="36" fillId="0" borderId="9" xfId="0" applyNumberFormat="1" applyFont="1" applyBorder="1" applyAlignment="1">
      <alignment horizontal="right" wrapText="1"/>
    </xf>
    <xf numFmtId="0" fontId="37" fillId="5" borderId="7" xfId="0" applyFont="1" applyFill="1" applyBorder="1" applyAlignment="1">
      <alignment horizontal="right"/>
    </xf>
    <xf numFmtId="0" fontId="37" fillId="5" borderId="8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center"/>
    </xf>
    <xf numFmtId="0" fontId="35" fillId="0" borderId="0" xfId="0" applyFont="1" applyAlignment="1"/>
    <xf numFmtId="0" fontId="36" fillId="0" borderId="73" xfId="0" applyFont="1" applyBorder="1" applyAlignment="1">
      <alignment horizontal="left" wrapText="1"/>
    </xf>
    <xf numFmtId="0" fontId="36" fillId="0" borderId="74" xfId="0" applyFont="1" applyBorder="1" applyAlignment="1">
      <alignment horizontal="left" wrapText="1"/>
    </xf>
    <xf numFmtId="0" fontId="36" fillId="0" borderId="82" xfId="0" applyFont="1" applyBorder="1" applyAlignment="1"/>
    <xf numFmtId="0" fontId="36" fillId="0" borderId="83" xfId="0" applyFont="1" applyBorder="1" applyAlignment="1">
      <alignment wrapText="1"/>
    </xf>
    <xf numFmtId="0" fontId="36" fillId="0" borderId="44" xfId="0" applyFont="1" applyBorder="1" applyAlignment="1">
      <alignment wrapText="1"/>
    </xf>
    <xf numFmtId="0" fontId="36" fillId="0" borderId="75" xfId="0" applyFont="1" applyBorder="1" applyAlignment="1">
      <alignment horizontal="left" wrapText="1"/>
    </xf>
    <xf numFmtId="0" fontId="36" fillId="0" borderId="76" xfId="0" applyFont="1" applyBorder="1" applyAlignment="1">
      <alignment horizontal="left" wrapText="1"/>
    </xf>
    <xf numFmtId="0" fontId="36" fillId="0" borderId="85" xfId="0" applyFont="1" applyBorder="1" applyAlignment="1"/>
    <xf numFmtId="0" fontId="36" fillId="0" borderId="75" xfId="0" applyFont="1" applyBorder="1" applyAlignment="1">
      <alignment wrapText="1"/>
    </xf>
    <xf numFmtId="0" fontId="0" fillId="0" borderId="0" xfId="0"/>
    <xf numFmtId="3" fontId="18" fillId="0" borderId="9" xfId="0" applyNumberFormat="1" applyFont="1" applyFill="1" applyBorder="1" applyAlignment="1">
      <alignment horizontal="right" wrapText="1"/>
    </xf>
    <xf numFmtId="3" fontId="18" fillId="0" borderId="57" xfId="0" applyNumberFormat="1" applyFont="1" applyFill="1" applyBorder="1" applyAlignment="1">
      <alignment horizontal="right" wrapText="1"/>
    </xf>
    <xf numFmtId="3" fontId="16" fillId="2" borderId="58" xfId="0" applyNumberFormat="1" applyFont="1" applyFill="1" applyBorder="1" applyAlignment="1">
      <alignment horizontal="right" wrapText="1"/>
    </xf>
    <xf numFmtId="3" fontId="18" fillId="0" borderId="9" xfId="0" applyNumberFormat="1" applyFont="1" applyFill="1" applyBorder="1" applyAlignment="1">
      <alignment horizontal="center" wrapText="1"/>
    </xf>
    <xf numFmtId="3" fontId="18" fillId="0" borderId="18" xfId="0" applyNumberFormat="1" applyFont="1" applyFill="1" applyBorder="1" applyAlignment="1">
      <alignment horizontal="right" wrapText="1"/>
    </xf>
    <xf numFmtId="3" fontId="16" fillId="2" borderId="58" xfId="0" applyNumberFormat="1" applyFont="1" applyFill="1" applyBorder="1" applyAlignment="1">
      <alignment horizontal="right" vertical="center" wrapText="1"/>
    </xf>
    <xf numFmtId="3" fontId="15" fillId="0" borderId="18" xfId="0" applyNumberFormat="1" applyFont="1" applyFill="1" applyBorder="1" applyAlignment="1">
      <alignment horizontal="right" vertical="center" wrapText="1"/>
    </xf>
    <xf numFmtId="3" fontId="15" fillId="0" borderId="18" xfId="0" applyNumberFormat="1" applyFont="1" applyFill="1" applyBorder="1" applyAlignment="1">
      <alignment horizontal="right" wrapText="1"/>
    </xf>
    <xf numFmtId="3" fontId="15" fillId="0" borderId="52" xfId="0" applyNumberFormat="1" applyFont="1" applyFill="1" applyBorder="1" applyAlignment="1">
      <alignment horizontal="right" wrapText="1"/>
    </xf>
    <xf numFmtId="3" fontId="15" fillId="0" borderId="20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/>
    <xf numFmtId="3" fontId="15" fillId="0" borderId="13" xfId="0" applyNumberFormat="1" applyFont="1" applyFill="1" applyBorder="1" applyAlignment="1">
      <alignment wrapText="1"/>
    </xf>
    <xf numFmtId="3" fontId="16" fillId="0" borderId="59" xfId="0" applyNumberFormat="1" applyFont="1" applyFill="1" applyBorder="1" applyAlignment="1">
      <alignment horizontal="right" wrapText="1"/>
    </xf>
    <xf numFmtId="0" fontId="0" fillId="0" borderId="0" xfId="0"/>
    <xf numFmtId="0" fontId="14" fillId="0" borderId="28" xfId="0" applyFont="1" applyFill="1" applyBorder="1" applyAlignment="1">
      <alignment horizontal="center"/>
    </xf>
    <xf numFmtId="0" fontId="15" fillId="0" borderId="66" xfId="0" applyFont="1" applyFill="1" applyBorder="1" applyAlignment="1">
      <alignment horizontal="center"/>
    </xf>
    <xf numFmtId="2" fontId="15" fillId="0" borderId="66" xfId="1" applyNumberFormat="1" applyFont="1" applyFill="1" applyBorder="1" applyAlignment="1">
      <alignment horizontal="center"/>
    </xf>
    <xf numFmtId="3" fontId="15" fillId="0" borderId="66" xfId="0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right" wrapText="1"/>
    </xf>
    <xf numFmtId="3" fontId="15" fillId="0" borderId="57" xfId="0" applyNumberFormat="1" applyFont="1" applyFill="1" applyBorder="1" applyAlignment="1">
      <alignment horizontal="right" wrapText="1"/>
    </xf>
    <xf numFmtId="3" fontId="16" fillId="2" borderId="44" xfId="0" applyNumberFormat="1" applyFont="1" applyFill="1" applyBorder="1" applyAlignment="1">
      <alignment horizontal="right" wrapText="1"/>
    </xf>
    <xf numFmtId="3" fontId="4" fillId="0" borderId="52" xfId="0" applyNumberFormat="1" applyFont="1" applyFill="1" applyBorder="1" applyAlignment="1">
      <alignment horizontal="right" wrapText="1"/>
    </xf>
    <xf numFmtId="3" fontId="15" fillId="0" borderId="59" xfId="0" applyNumberFormat="1" applyFont="1" applyFill="1" applyBorder="1" applyAlignment="1">
      <alignment horizontal="right" wrapText="1"/>
    </xf>
    <xf numFmtId="3" fontId="30" fillId="0" borderId="18" xfId="2" applyNumberFormat="1" applyFont="1" applyBorder="1" applyAlignment="1">
      <alignment horizontal="right"/>
    </xf>
    <xf numFmtId="3" fontId="16" fillId="5" borderId="58" xfId="2" applyNumberFormat="1" applyFont="1" applyFill="1" applyBorder="1" applyAlignment="1">
      <alignment horizontal="right" vertical="center"/>
    </xf>
    <xf numFmtId="3" fontId="16" fillId="10" borderId="58" xfId="2" applyNumberFormat="1" applyFont="1" applyFill="1" applyBorder="1" applyAlignment="1">
      <alignment horizontal="right" vertical="center"/>
    </xf>
    <xf numFmtId="0" fontId="47" fillId="0" borderId="7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/>
    <xf numFmtId="0" fontId="0" fillId="0" borderId="0" xfId="0"/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Fill="1" applyBorder="1" applyAlignment="1">
      <alignment horizontal="center" wrapText="1"/>
    </xf>
    <xf numFmtId="3" fontId="16" fillId="0" borderId="18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0" fontId="52" fillId="0" borderId="0" xfId="0" applyFont="1" applyAlignment="1"/>
    <xf numFmtId="2" fontId="14" fillId="0" borderId="9" xfId="1" applyNumberFormat="1" applyFont="1" applyFill="1" applyBorder="1" applyAlignment="1">
      <alignment horizontal="center" wrapText="1"/>
    </xf>
    <xf numFmtId="3" fontId="14" fillId="0" borderId="57" xfId="0" applyNumberFormat="1" applyFont="1" applyFill="1" applyBorder="1" applyAlignment="1">
      <alignment horizontal="center" wrapText="1"/>
    </xf>
    <xf numFmtId="0" fontId="36" fillId="0" borderId="0" xfId="0" applyFont="1" applyAlignment="1"/>
    <xf numFmtId="0" fontId="36" fillId="0" borderId="0" xfId="0" applyFont="1"/>
    <xf numFmtId="2" fontId="36" fillId="0" borderId="13" xfId="0" applyNumberFormat="1" applyFont="1" applyBorder="1" applyAlignment="1">
      <alignment wrapText="1"/>
    </xf>
    <xf numFmtId="0" fontId="37" fillId="0" borderId="113" xfId="0" applyFont="1" applyFill="1" applyBorder="1" applyAlignment="1">
      <alignment horizontal="center" vertical="center" wrapText="1"/>
    </xf>
    <xf numFmtId="2" fontId="37" fillId="0" borderId="114" xfId="1" applyNumberFormat="1" applyFont="1" applyFill="1" applyBorder="1" applyAlignment="1">
      <alignment horizontal="center" vertical="center" wrapText="1"/>
    </xf>
    <xf numFmtId="3" fontId="37" fillId="0" borderId="113" xfId="0" applyNumberFormat="1" applyFont="1" applyFill="1" applyBorder="1" applyAlignment="1">
      <alignment horizontal="center" vertical="center" wrapText="1"/>
    </xf>
    <xf numFmtId="3" fontId="37" fillId="0" borderId="115" xfId="0" applyNumberFormat="1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right" wrapText="1"/>
    </xf>
    <xf numFmtId="2" fontId="16" fillId="5" borderId="13" xfId="0" applyNumberFormat="1" applyFont="1" applyFill="1" applyBorder="1" applyAlignment="1">
      <alignment horizontal="left" wrapText="1"/>
    </xf>
    <xf numFmtId="2" fontId="16" fillId="0" borderId="13" xfId="0" applyNumberFormat="1" applyFont="1" applyFill="1" applyBorder="1" applyAlignment="1">
      <alignment horizontal="center" wrapText="1"/>
    </xf>
    <xf numFmtId="2" fontId="16" fillId="0" borderId="13" xfId="1" applyNumberFormat="1" applyFont="1" applyFill="1" applyBorder="1" applyAlignment="1">
      <alignment horizontal="center" wrapText="1"/>
    </xf>
    <xf numFmtId="0" fontId="16" fillId="0" borderId="7" xfId="0" applyFont="1" applyFill="1" applyBorder="1" applyAlignment="1">
      <alignment horizontal="right" wrapText="1"/>
    </xf>
    <xf numFmtId="2" fontId="16" fillId="0" borderId="12" xfId="0" applyNumberFormat="1" applyFont="1" applyFill="1" applyBorder="1" applyAlignment="1">
      <alignment horizontal="left" wrapText="1"/>
    </xf>
    <xf numFmtId="2" fontId="16" fillId="0" borderId="14" xfId="0" applyNumberFormat="1" applyFont="1" applyFill="1" applyBorder="1" applyAlignment="1">
      <alignment horizontal="center" wrapText="1"/>
    </xf>
    <xf numFmtId="2" fontId="16" fillId="0" borderId="14" xfId="1" applyNumberFormat="1" applyFont="1" applyFill="1" applyBorder="1" applyAlignment="1">
      <alignment horizontal="center" wrapText="1"/>
    </xf>
    <xf numFmtId="3" fontId="16" fillId="0" borderId="15" xfId="0" applyNumberFormat="1" applyFont="1" applyFill="1" applyBorder="1" applyAlignment="1">
      <alignment horizontal="center" wrapText="1"/>
    </xf>
    <xf numFmtId="2" fontId="17" fillId="0" borderId="13" xfId="0" applyNumberFormat="1" applyFont="1" applyFill="1" applyBorder="1" applyAlignment="1">
      <alignment horizontal="left" wrapText="1"/>
    </xf>
    <xf numFmtId="2" fontId="15" fillId="0" borderId="13" xfId="0" applyNumberFormat="1" applyFont="1" applyFill="1" applyBorder="1" applyAlignment="1">
      <alignment horizontal="left" wrapText="1"/>
    </xf>
    <xf numFmtId="2" fontId="15" fillId="0" borderId="13" xfId="0" applyNumberFormat="1" applyFont="1" applyFill="1" applyBorder="1" applyAlignment="1">
      <alignment horizontal="center" wrapText="1"/>
    </xf>
    <xf numFmtId="0" fontId="37" fillId="0" borderId="14" xfId="0" applyFont="1" applyFill="1" applyBorder="1" applyAlignment="1">
      <alignment horizontal="center" vertical="center" wrapText="1"/>
    </xf>
    <xf numFmtId="2" fontId="37" fillId="0" borderId="14" xfId="1" applyNumberFormat="1" applyFont="1" applyFill="1" applyBorder="1" applyAlignment="1">
      <alignment horizontal="center" vertical="center" wrapText="1"/>
    </xf>
    <xf numFmtId="2" fontId="19" fillId="0" borderId="13" xfId="0" applyNumberFormat="1" applyFont="1" applyFill="1" applyBorder="1" applyAlignment="1">
      <alignment horizontal="left" wrapText="1"/>
    </xf>
    <xf numFmtId="0" fontId="38" fillId="0" borderId="116" xfId="0" applyFont="1" applyFill="1" applyBorder="1" applyAlignment="1">
      <alignment horizontal="center"/>
    </xf>
    <xf numFmtId="3" fontId="37" fillId="0" borderId="117" xfId="0" applyNumberFormat="1" applyFont="1" applyFill="1" applyBorder="1" applyAlignment="1">
      <alignment horizontal="right" vertical="center" wrapText="1"/>
    </xf>
    <xf numFmtId="3" fontId="16" fillId="0" borderId="13" xfId="0" applyNumberFormat="1" applyFont="1" applyFill="1" applyBorder="1" applyAlignment="1">
      <alignment horizontal="right" wrapText="1"/>
    </xf>
    <xf numFmtId="3" fontId="40" fillId="0" borderId="15" xfId="0" applyNumberFormat="1" applyFont="1" applyFill="1" applyBorder="1" applyAlignment="1">
      <alignment vertical="center" wrapText="1"/>
    </xf>
    <xf numFmtId="3" fontId="40" fillId="0" borderId="13" xfId="0" applyNumberFormat="1" applyFont="1" applyFill="1" applyBorder="1" applyAlignment="1">
      <alignment vertical="center" wrapText="1"/>
    </xf>
    <xf numFmtId="3" fontId="15" fillId="0" borderId="9" xfId="0" applyNumberFormat="1" applyFont="1" applyFill="1" applyBorder="1" applyAlignment="1">
      <alignment wrapText="1"/>
    </xf>
    <xf numFmtId="3" fontId="40" fillId="0" borderId="33" xfId="0" applyNumberFormat="1" applyFont="1" applyFill="1" applyBorder="1" applyAlignment="1">
      <alignment wrapText="1"/>
    </xf>
    <xf numFmtId="3" fontId="37" fillId="2" borderId="58" xfId="0" applyNumberFormat="1" applyFont="1" applyFill="1" applyBorder="1" applyAlignment="1">
      <alignment horizontal="right" wrapText="1"/>
    </xf>
    <xf numFmtId="3" fontId="40" fillId="0" borderId="15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right"/>
    </xf>
    <xf numFmtId="0" fontId="0" fillId="0" borderId="18" xfId="0" applyFont="1" applyBorder="1"/>
    <xf numFmtId="0" fontId="0" fillId="0" borderId="0" xfId="0" applyAlignment="1">
      <alignment vertical="center"/>
    </xf>
    <xf numFmtId="3" fontId="16" fillId="0" borderId="9" xfId="0" applyNumberFormat="1" applyFont="1" applyFill="1" applyBorder="1" applyAlignment="1">
      <alignment horizontal="right" wrapText="1"/>
    </xf>
    <xf numFmtId="0" fontId="40" fillId="0" borderId="33" xfId="0" applyFont="1" applyFill="1" applyBorder="1" applyAlignment="1">
      <alignment horizontal="center" wrapText="1"/>
    </xf>
    <xf numFmtId="2" fontId="40" fillId="0" borderId="34" xfId="1" applyNumberFormat="1" applyFont="1" applyFill="1" applyBorder="1" applyAlignment="1">
      <alignment horizontal="right" wrapText="1"/>
    </xf>
    <xf numFmtId="3" fontId="40" fillId="0" borderId="33" xfId="0" applyNumberFormat="1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3" fontId="37" fillId="0" borderId="6" xfId="0" applyNumberFormat="1" applyFont="1" applyFill="1" applyBorder="1" applyAlignment="1">
      <alignment horizontal="right" vertical="center" wrapText="1"/>
    </xf>
    <xf numFmtId="3" fontId="16" fillId="0" borderId="20" xfId="0" applyNumberFormat="1" applyFont="1" applyFill="1" applyBorder="1" applyAlignment="1">
      <alignment horizontal="right" wrapText="1"/>
    </xf>
    <xf numFmtId="3" fontId="37" fillId="0" borderId="13" xfId="0" applyNumberFormat="1" applyFont="1" applyFill="1" applyBorder="1" applyAlignment="1">
      <alignment horizontal="right" vertical="center" wrapText="1"/>
    </xf>
    <xf numFmtId="3" fontId="37" fillId="0" borderId="20" xfId="0" applyNumberFormat="1" applyFont="1" applyFill="1" applyBorder="1" applyAlignment="1">
      <alignment horizontal="right" vertical="center" wrapText="1"/>
    </xf>
    <xf numFmtId="0" fontId="0" fillId="0" borderId="33" xfId="0" applyFont="1" applyBorder="1" applyAlignment="1">
      <alignment horizontal="right"/>
    </xf>
    <xf numFmtId="2" fontId="38" fillId="0" borderId="47" xfId="0" applyNumberFormat="1" applyFont="1" applyFill="1" applyBorder="1" applyAlignment="1">
      <alignment horizontal="right" vertical="center" wrapText="1"/>
    </xf>
    <xf numFmtId="0" fontId="38" fillId="0" borderId="9" xfId="0" applyFont="1" applyFill="1" applyBorder="1" applyAlignment="1">
      <alignment horizontal="right"/>
    </xf>
    <xf numFmtId="0" fontId="38" fillId="0" borderId="13" xfId="0" applyFont="1" applyFill="1" applyBorder="1" applyAlignment="1">
      <alignment horizontal="right"/>
    </xf>
    <xf numFmtId="0" fontId="38" fillId="0" borderId="33" xfId="0" applyFont="1" applyFill="1" applyBorder="1" applyAlignment="1">
      <alignment horizontal="right"/>
    </xf>
    <xf numFmtId="0" fontId="38" fillId="0" borderId="66" xfId="0" applyFont="1" applyFill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56" xfId="0" applyFont="1" applyBorder="1" applyAlignment="1">
      <alignment horizontal="right"/>
    </xf>
    <xf numFmtId="0" fontId="38" fillId="0" borderId="16" xfId="0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 wrapText="1"/>
    </xf>
    <xf numFmtId="0" fontId="16" fillId="0" borderId="29" xfId="0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 wrapText="1"/>
    </xf>
    <xf numFmtId="3" fontId="40" fillId="0" borderId="51" xfId="0" applyNumberFormat="1" applyFont="1" applyFill="1" applyBorder="1" applyAlignment="1">
      <alignment horizontal="right" vertical="center"/>
    </xf>
    <xf numFmtId="0" fontId="38" fillId="0" borderId="28" xfId="0" applyFont="1" applyFill="1" applyBorder="1" applyAlignment="1">
      <alignment horizontal="right"/>
    </xf>
    <xf numFmtId="3" fontId="40" fillId="0" borderId="56" xfId="0" applyNumberFormat="1" applyFont="1" applyFill="1" applyBorder="1" applyAlignment="1">
      <alignment horizontal="right" vertical="center"/>
    </xf>
    <xf numFmtId="0" fontId="38" fillId="0" borderId="29" xfId="0" applyFont="1" applyFill="1" applyBorder="1" applyAlignment="1">
      <alignment horizontal="right"/>
    </xf>
    <xf numFmtId="3" fontId="40" fillId="0" borderId="2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3" fontId="14" fillId="0" borderId="9" xfId="0" applyNumberFormat="1" applyFont="1" applyFill="1" applyBorder="1" applyAlignment="1">
      <alignment horizontal="right" wrapText="1"/>
    </xf>
    <xf numFmtId="0" fontId="39" fillId="0" borderId="12" xfId="0" applyNumberFormat="1" applyFont="1" applyFill="1" applyBorder="1" applyAlignment="1">
      <alignment horizontal="left" wrapText="1"/>
    </xf>
    <xf numFmtId="0" fontId="19" fillId="0" borderId="13" xfId="0" applyFont="1" applyFill="1" applyBorder="1" applyAlignment="1"/>
    <xf numFmtId="0" fontId="18" fillId="0" borderId="19" xfId="0" applyFont="1" applyFill="1" applyBorder="1" applyAlignment="1">
      <alignment horizontal="right" wrapText="1"/>
    </xf>
    <xf numFmtId="2" fontId="15" fillId="0" borderId="33" xfId="0" applyNumberFormat="1" applyFont="1" applyFill="1" applyBorder="1" applyAlignment="1">
      <alignment horizontal="left" wrapText="1"/>
    </xf>
    <xf numFmtId="2" fontId="18" fillId="0" borderId="33" xfId="0" applyNumberFormat="1" applyFont="1" applyFill="1" applyBorder="1" applyAlignment="1">
      <alignment horizontal="center" wrapText="1"/>
    </xf>
    <xf numFmtId="2" fontId="18" fillId="0" borderId="33" xfId="1" applyNumberFormat="1" applyFont="1" applyFill="1" applyBorder="1" applyAlignment="1">
      <alignment horizontal="center" wrapText="1"/>
    </xf>
    <xf numFmtId="3" fontId="18" fillId="0" borderId="33" xfId="0" applyNumberFormat="1" applyFont="1" applyFill="1" applyBorder="1" applyAlignment="1">
      <alignment horizontal="center" wrapText="1"/>
    </xf>
    <xf numFmtId="3" fontId="18" fillId="0" borderId="59" xfId="0" applyNumberFormat="1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left"/>
    </xf>
    <xf numFmtId="0" fontId="15" fillId="0" borderId="9" xfId="0" applyFont="1" applyFill="1" applyBorder="1" applyAlignment="1">
      <alignment horizontal="center"/>
    </xf>
    <xf numFmtId="2" fontId="15" fillId="0" borderId="9" xfId="1" applyNumberFormat="1" applyFont="1" applyFill="1" applyBorder="1" applyAlignment="1">
      <alignment horizontal="center"/>
    </xf>
    <xf numFmtId="3" fontId="15" fillId="0" borderId="9" xfId="0" applyNumberFormat="1" applyFont="1" applyFill="1" applyBorder="1" applyAlignment="1">
      <alignment horizontal="center"/>
    </xf>
    <xf numFmtId="3" fontId="18" fillId="0" borderId="57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right"/>
    </xf>
    <xf numFmtId="0" fontId="14" fillId="0" borderId="5" xfId="0" applyFont="1" applyFill="1" applyBorder="1" applyAlignment="1">
      <alignment horizontal="right"/>
    </xf>
    <xf numFmtId="3" fontId="16" fillId="0" borderId="57" xfId="0" applyNumberFormat="1" applyFont="1" applyFill="1" applyBorder="1" applyAlignment="1">
      <alignment horizontal="right" wrapText="1"/>
    </xf>
    <xf numFmtId="0" fontId="18" fillId="0" borderId="30" xfId="0" applyFont="1" applyFill="1" applyBorder="1" applyAlignment="1">
      <alignment horizontal="right"/>
    </xf>
    <xf numFmtId="0" fontId="15" fillId="0" borderId="28" xfId="0" applyFont="1" applyFill="1" applyBorder="1" applyAlignment="1">
      <alignment horizontal="left"/>
    </xf>
    <xf numFmtId="0" fontId="15" fillId="0" borderId="28" xfId="0" applyFont="1" applyFill="1" applyBorder="1" applyAlignment="1">
      <alignment horizontal="center"/>
    </xf>
    <xf numFmtId="2" fontId="15" fillId="0" borderId="28" xfId="1" applyNumberFormat="1" applyFont="1" applyFill="1" applyBorder="1" applyAlignment="1">
      <alignment horizontal="center"/>
    </xf>
    <xf numFmtId="3" fontId="15" fillId="0" borderId="28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right"/>
    </xf>
    <xf numFmtId="0" fontId="19" fillId="0" borderId="9" xfId="0" applyNumberFormat="1" applyFont="1" applyFill="1" applyBorder="1" applyAlignment="1">
      <alignment horizontal="left"/>
    </xf>
    <xf numFmtId="0" fontId="18" fillId="0" borderId="53" xfId="0" applyFont="1" applyFill="1" applyBorder="1" applyAlignment="1">
      <alignment horizontal="right" wrapText="1"/>
    </xf>
    <xf numFmtId="0" fontId="15" fillId="0" borderId="56" xfId="0" applyFont="1" applyFill="1" applyBorder="1" applyAlignment="1">
      <alignment horizontal="left" wrapText="1"/>
    </xf>
    <xf numFmtId="0" fontId="15" fillId="0" borderId="54" xfId="0" applyFont="1" applyFill="1" applyBorder="1" applyAlignment="1">
      <alignment horizontal="center" wrapText="1"/>
    </xf>
    <xf numFmtId="2" fontId="15" fillId="0" borderId="54" xfId="1" applyNumberFormat="1" applyFont="1" applyFill="1" applyBorder="1" applyAlignment="1">
      <alignment horizontal="right" wrapText="1"/>
    </xf>
    <xf numFmtId="3" fontId="15" fillId="0" borderId="54" xfId="0" applyNumberFormat="1" applyFont="1" applyFill="1" applyBorder="1" applyAlignment="1">
      <alignment horizontal="center" wrapText="1"/>
    </xf>
    <xf numFmtId="3" fontId="18" fillId="0" borderId="59" xfId="0" applyNumberFormat="1" applyFont="1" applyFill="1" applyBorder="1" applyAlignment="1">
      <alignment horizontal="center" wrapText="1"/>
    </xf>
    <xf numFmtId="0" fontId="18" fillId="0" borderId="7" xfId="0" applyFont="1" applyFill="1" applyBorder="1" applyAlignment="1">
      <alignment horizontal="right"/>
    </xf>
    <xf numFmtId="0" fontId="32" fillId="0" borderId="33" xfId="0" applyFont="1" applyFill="1" applyBorder="1" applyAlignment="1">
      <alignment horizontal="left" wrapText="1"/>
    </xf>
    <xf numFmtId="0" fontId="32" fillId="0" borderId="33" xfId="0" applyFont="1" applyFill="1" applyBorder="1" applyAlignment="1">
      <alignment horizontal="center"/>
    </xf>
    <xf numFmtId="2" fontId="32" fillId="0" borderId="33" xfId="1" applyNumberFormat="1" applyFont="1" applyFill="1" applyBorder="1" applyAlignment="1">
      <alignment horizontal="right"/>
    </xf>
    <xf numFmtId="0" fontId="18" fillId="0" borderId="20" xfId="0" applyFont="1" applyFill="1" applyBorder="1"/>
    <xf numFmtId="2" fontId="15" fillId="0" borderId="20" xfId="1" applyNumberFormat="1" applyFont="1" applyFill="1" applyBorder="1" applyAlignment="1">
      <alignment horizontal="center" vertical="center"/>
    </xf>
    <xf numFmtId="3" fontId="15" fillId="0" borderId="20" xfId="0" applyNumberFormat="1" applyFont="1" applyFill="1" applyBorder="1" applyAlignment="1">
      <alignment horizontal="center" vertical="center"/>
    </xf>
    <xf numFmtId="3" fontId="15" fillId="0" borderId="59" xfId="0" applyNumberFormat="1" applyFont="1" applyFill="1" applyBorder="1" applyAlignment="1">
      <alignment horizontal="center"/>
    </xf>
    <xf numFmtId="3" fontId="30" fillId="0" borderId="18" xfId="2" applyNumberFormat="1" applyFont="1" applyBorder="1" applyAlignment="1">
      <alignment horizontal="right" vertical="center" wrapText="1"/>
    </xf>
    <xf numFmtId="3" fontId="30" fillId="0" borderId="13" xfId="0" applyNumberFormat="1" applyFont="1" applyBorder="1" applyAlignment="1"/>
    <xf numFmtId="3" fontId="30" fillId="0" borderId="13" xfId="0" applyNumberFormat="1" applyFont="1" applyBorder="1" applyAlignment="1">
      <alignment horizontal="right"/>
    </xf>
    <xf numFmtId="3" fontId="15" fillId="0" borderId="18" xfId="2" applyNumberFormat="1" applyFont="1" applyBorder="1" applyAlignment="1">
      <alignment horizontal="right"/>
    </xf>
    <xf numFmtId="0" fontId="30" fillId="0" borderId="18" xfId="0" applyFont="1" applyBorder="1" applyAlignment="1"/>
    <xf numFmtId="2" fontId="16" fillId="0" borderId="9" xfId="0" applyNumberFormat="1" applyFont="1" applyFill="1" applyBorder="1" applyAlignment="1">
      <alignment horizontal="left" wrapText="1"/>
    </xf>
    <xf numFmtId="0" fontId="0" fillId="0" borderId="0" xfId="0" applyFill="1"/>
    <xf numFmtId="0" fontId="10" fillId="9" borderId="111" xfId="0" applyFont="1" applyFill="1" applyBorder="1" applyAlignment="1">
      <alignment horizontal="center" vertical="center"/>
    </xf>
    <xf numFmtId="0" fontId="36" fillId="0" borderId="127" xfId="0" applyFont="1" applyBorder="1" applyAlignment="1">
      <alignment vertical="center" wrapText="1"/>
    </xf>
    <xf numFmtId="0" fontId="36" fillId="0" borderId="69" xfId="0" applyFont="1" applyBorder="1" applyAlignment="1">
      <alignment horizontal="center" vertical="center" wrapText="1"/>
    </xf>
    <xf numFmtId="0" fontId="36" fillId="0" borderId="82" xfId="0" applyFont="1" applyBorder="1" applyAlignment="1">
      <alignment vertical="center" wrapText="1"/>
    </xf>
    <xf numFmtId="0" fontId="36" fillId="0" borderId="128" xfId="0" applyFont="1" applyBorder="1" applyAlignment="1">
      <alignment vertical="center" wrapText="1"/>
    </xf>
    <xf numFmtId="0" fontId="36" fillId="0" borderId="127" xfId="0" applyFont="1" applyBorder="1" applyAlignment="1">
      <alignment horizontal="left" vertical="center" wrapText="1"/>
    </xf>
    <xf numFmtId="0" fontId="36" fillId="0" borderId="82" xfId="0" applyFont="1" applyBorder="1" applyAlignment="1">
      <alignment vertical="center"/>
    </xf>
    <xf numFmtId="0" fontId="36" fillId="0" borderId="128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center" vertical="center" wrapText="1"/>
    </xf>
    <xf numFmtId="0" fontId="47" fillId="0" borderId="83" xfId="0" applyFont="1" applyBorder="1" applyAlignment="1">
      <alignment horizontal="center" vertical="center" wrapText="1"/>
    </xf>
    <xf numFmtId="0" fontId="36" fillId="0" borderId="83" xfId="0" applyFont="1" applyBorder="1" applyAlignment="1">
      <alignment vertical="center" wrapText="1"/>
    </xf>
    <xf numFmtId="0" fontId="36" fillId="0" borderId="49" xfId="0" applyFont="1" applyBorder="1" applyAlignment="1">
      <alignment vertical="center" wrapText="1"/>
    </xf>
    <xf numFmtId="0" fontId="36" fillId="0" borderId="84" xfId="0" applyFont="1" applyBorder="1" applyAlignment="1">
      <alignment vertical="center" wrapText="1"/>
    </xf>
    <xf numFmtId="0" fontId="36" fillId="0" borderId="131" xfId="0" applyFont="1" applyBorder="1" applyAlignment="1">
      <alignment horizontal="left" vertical="center" wrapText="1"/>
    </xf>
    <xf numFmtId="0" fontId="36" fillId="0" borderId="85" xfId="0" applyFont="1" applyBorder="1" applyAlignment="1">
      <alignment vertical="center"/>
    </xf>
    <xf numFmtId="0" fontId="36" fillId="0" borderId="132" xfId="0" applyFont="1" applyBorder="1" applyAlignment="1">
      <alignment horizontal="left" vertical="center" wrapText="1"/>
    </xf>
    <xf numFmtId="0" fontId="36" fillId="0" borderId="79" xfId="0" applyFont="1" applyBorder="1" applyAlignment="1">
      <alignment vertical="center" wrapText="1"/>
    </xf>
    <xf numFmtId="0" fontId="36" fillId="0" borderId="131" xfId="0" applyFont="1" applyBorder="1" applyAlignment="1">
      <alignment vertical="center" wrapText="1"/>
    </xf>
    <xf numFmtId="0" fontId="36" fillId="0" borderId="133" xfId="0" applyFont="1" applyBorder="1" applyAlignment="1">
      <alignment horizontal="left" vertical="center"/>
    </xf>
    <xf numFmtId="0" fontId="0" fillId="0" borderId="134" xfId="0" applyBorder="1"/>
    <xf numFmtId="0" fontId="47" fillId="0" borderId="102" xfId="0" applyFont="1" applyBorder="1" applyAlignment="1">
      <alignment vertical="center" wrapText="1"/>
    </xf>
    <xf numFmtId="0" fontId="47" fillId="0" borderId="129" xfId="0" applyFont="1" applyBorder="1" applyAlignment="1">
      <alignment vertical="center" wrapText="1"/>
    </xf>
    <xf numFmtId="0" fontId="47" fillId="0" borderId="130" xfId="0" applyFont="1" applyBorder="1" applyAlignment="1">
      <alignment vertical="center" wrapText="1"/>
    </xf>
    <xf numFmtId="0" fontId="47" fillId="0" borderId="106" xfId="0" applyFont="1" applyBorder="1" applyAlignment="1">
      <alignment vertical="center" wrapText="1"/>
    </xf>
    <xf numFmtId="0" fontId="47" fillId="0" borderId="79" xfId="0" applyFont="1" applyBorder="1" applyAlignment="1">
      <alignment horizontal="center" vertical="center"/>
    </xf>
    <xf numFmtId="0" fontId="47" fillId="0" borderId="81" xfId="0" applyFont="1" applyBorder="1" applyAlignment="1">
      <alignment horizontal="center" vertical="center"/>
    </xf>
    <xf numFmtId="0" fontId="47" fillId="0" borderId="78" xfId="0" applyFont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0" fillId="0" borderId="0" xfId="0" applyFont="1"/>
    <xf numFmtId="0" fontId="0" fillId="0" borderId="0" xfId="0"/>
    <xf numFmtId="0" fontId="47" fillId="0" borderId="79" xfId="0" applyFont="1" applyBorder="1" applyAlignment="1">
      <alignment horizontal="center" vertical="center" wrapText="1"/>
    </xf>
    <xf numFmtId="0" fontId="47" fillId="0" borderId="81" xfId="0" applyFont="1" applyBorder="1" applyAlignment="1">
      <alignment horizontal="center" vertical="center" wrapText="1"/>
    </xf>
    <xf numFmtId="0" fontId="47" fillId="0" borderId="78" xfId="0" applyFont="1" applyBorder="1" applyAlignment="1">
      <alignment horizontal="center" vertical="center" wrapText="1"/>
    </xf>
    <xf numFmtId="0" fontId="49" fillId="3" borderId="96" xfId="0" applyFont="1" applyFill="1" applyBorder="1" applyAlignment="1">
      <alignment horizontal="right"/>
    </xf>
    <xf numFmtId="0" fontId="49" fillId="3" borderId="97" xfId="0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16" fillId="0" borderId="43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51" fillId="2" borderId="55" xfId="0" applyFont="1" applyFill="1" applyBorder="1" applyAlignment="1">
      <alignment horizontal="center" vertical="center"/>
    </xf>
    <xf numFmtId="0" fontId="51" fillId="2" borderId="60" xfId="0" applyFont="1" applyFill="1" applyBorder="1" applyAlignment="1">
      <alignment horizontal="center" vertical="center"/>
    </xf>
    <xf numFmtId="3" fontId="51" fillId="2" borderId="60" xfId="0" applyNumberFormat="1" applyFont="1" applyFill="1" applyBorder="1" applyAlignment="1">
      <alignment horizontal="center" vertical="center"/>
    </xf>
    <xf numFmtId="3" fontId="51" fillId="2" borderId="39" xfId="0" applyNumberFormat="1" applyFont="1" applyFill="1" applyBorder="1" applyAlignment="1">
      <alignment horizontal="center" vertical="center"/>
    </xf>
    <xf numFmtId="2" fontId="23" fillId="0" borderId="13" xfId="0" applyNumberFormat="1" applyFont="1" applyFill="1" applyBorder="1" applyAlignment="1">
      <alignment horizontal="left" vertical="center" wrapText="1"/>
    </xf>
    <xf numFmtId="2" fontId="23" fillId="0" borderId="13" xfId="0" applyNumberFormat="1" applyFont="1" applyFill="1" applyBorder="1" applyAlignment="1">
      <alignment horizontal="left" wrapText="1"/>
    </xf>
    <xf numFmtId="0" fontId="22" fillId="0" borderId="36" xfId="0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7" borderId="60" xfId="0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/>
    </xf>
    <xf numFmtId="3" fontId="23" fillId="0" borderId="13" xfId="0" applyNumberFormat="1" applyFont="1" applyFill="1" applyBorder="1" applyAlignment="1">
      <alignment horizontal="right" wrapText="1"/>
    </xf>
    <xf numFmtId="3" fontId="23" fillId="0" borderId="18" xfId="0" applyNumberFormat="1" applyFont="1" applyFill="1" applyBorder="1" applyAlignment="1">
      <alignment horizontal="right" wrapText="1"/>
    </xf>
    <xf numFmtId="0" fontId="22" fillId="2" borderId="38" xfId="0" applyFont="1" applyFill="1" applyBorder="1" applyAlignment="1">
      <alignment horizontal="center" vertical="center"/>
    </xf>
    <xf numFmtId="0" fontId="22" fillId="2" borderId="111" xfId="0" applyFont="1" applyFill="1" applyBorder="1" applyAlignment="1">
      <alignment horizontal="center" vertical="center"/>
    </xf>
    <xf numFmtId="0" fontId="22" fillId="2" borderId="122" xfId="0" applyFont="1" applyFill="1" applyBorder="1" applyAlignment="1">
      <alignment horizontal="center" vertical="center"/>
    </xf>
    <xf numFmtId="3" fontId="22" fillId="2" borderId="112" xfId="0" applyNumberFormat="1" applyFont="1" applyFill="1" applyBorder="1" applyAlignment="1">
      <alignment horizontal="center" vertical="center"/>
    </xf>
    <xf numFmtId="3" fontId="22" fillId="2" borderId="72" xfId="0" applyNumberFormat="1" applyFont="1" applyFill="1" applyBorder="1" applyAlignment="1">
      <alignment horizontal="center" vertical="center"/>
    </xf>
    <xf numFmtId="0" fontId="22" fillId="7" borderId="39" xfId="0" applyFont="1" applyFill="1" applyBorder="1" applyAlignment="1">
      <alignment horizontal="center" vertical="center"/>
    </xf>
    <xf numFmtId="3" fontId="22" fillId="0" borderId="9" xfId="0" applyNumberFormat="1" applyFont="1" applyBorder="1" applyAlignment="1">
      <alignment horizontal="center"/>
    </xf>
    <xf numFmtId="0" fontId="22" fillId="0" borderId="57" xfId="0" applyFont="1" applyBorder="1" applyAlignment="1">
      <alignment horizontal="center"/>
    </xf>
    <xf numFmtId="3" fontId="22" fillId="0" borderId="118" xfId="0" applyNumberFormat="1" applyFont="1" applyBorder="1" applyAlignment="1">
      <alignment horizontal="center"/>
    </xf>
    <xf numFmtId="3" fontId="22" fillId="0" borderId="121" xfId="0" applyNumberFormat="1" applyFont="1" applyBorder="1" applyAlignment="1">
      <alignment horizontal="center"/>
    </xf>
    <xf numFmtId="0" fontId="23" fillId="0" borderId="14" xfId="0" applyFont="1" applyFill="1" applyBorder="1" applyAlignment="1"/>
    <xf numFmtId="0" fontId="23" fillId="0" borderId="12" xfId="0" applyFont="1" applyFill="1" applyBorder="1" applyAlignment="1"/>
    <xf numFmtId="0" fontId="23" fillId="0" borderId="16" xfId="0" applyFont="1" applyFill="1" applyBorder="1" applyAlignment="1"/>
    <xf numFmtId="3" fontId="23" fillId="0" borderId="14" xfId="0" applyNumberFormat="1" applyFont="1" applyFill="1" applyBorder="1" applyAlignment="1">
      <alignment horizontal="right" wrapText="1"/>
    </xf>
    <xf numFmtId="3" fontId="23" fillId="0" borderId="15" xfId="0" applyNumberFormat="1" applyFont="1" applyFill="1" applyBorder="1" applyAlignment="1">
      <alignment horizontal="right" wrapText="1"/>
    </xf>
    <xf numFmtId="0" fontId="22" fillId="0" borderId="118" xfId="0" applyFont="1" applyBorder="1"/>
    <xf numFmtId="0" fontId="22" fillId="0" borderId="119" xfId="0" applyFont="1" applyBorder="1"/>
    <xf numFmtId="0" fontId="22" fillId="0" borderId="120" xfId="0" applyFont="1" applyBorder="1"/>
    <xf numFmtId="3" fontId="16" fillId="0" borderId="13" xfId="0" applyNumberFormat="1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0" fontId="34" fillId="2" borderId="55" xfId="0" applyFont="1" applyFill="1" applyBorder="1" applyAlignment="1">
      <alignment horizontal="center" vertical="center"/>
    </xf>
    <xf numFmtId="0" fontId="34" fillId="2" borderId="60" xfId="0" applyFont="1" applyFill="1" applyBorder="1" applyAlignment="1">
      <alignment horizontal="center" vertical="center"/>
    </xf>
    <xf numFmtId="3" fontId="34" fillId="2" borderId="60" xfId="0" applyNumberFormat="1" applyFont="1" applyFill="1" applyBorder="1" applyAlignment="1">
      <alignment horizontal="right" vertical="center"/>
    </xf>
    <xf numFmtId="3" fontId="34" fillId="2" borderId="39" xfId="0" applyNumberFormat="1" applyFont="1" applyFill="1" applyBorder="1" applyAlignment="1">
      <alignment horizontal="right" vertical="center"/>
    </xf>
    <xf numFmtId="3" fontId="16" fillId="0" borderId="13" xfId="0" applyNumberFormat="1" applyFont="1" applyFill="1" applyBorder="1" applyAlignment="1">
      <alignment horizontal="center" wrapText="1"/>
    </xf>
    <xf numFmtId="3" fontId="16" fillId="0" borderId="18" xfId="0" applyNumberFormat="1" applyFont="1" applyFill="1" applyBorder="1" applyAlignment="1">
      <alignment horizontal="center" wrapText="1"/>
    </xf>
    <xf numFmtId="0" fontId="23" fillId="0" borderId="13" xfId="0" applyFont="1" applyFill="1" applyBorder="1" applyAlignment="1"/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22" fillId="2" borderId="55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/>
    </xf>
    <xf numFmtId="3" fontId="25" fillId="2" borderId="60" xfId="0" applyNumberFormat="1" applyFont="1" applyFill="1" applyBorder="1" applyAlignment="1">
      <alignment horizontal="center"/>
    </xf>
    <xf numFmtId="0" fontId="25" fillId="2" borderId="39" xfId="0" applyFont="1" applyFill="1" applyBorder="1" applyAlignment="1">
      <alignment horizontal="center"/>
    </xf>
    <xf numFmtId="0" fontId="22" fillId="0" borderId="33" xfId="0" applyFont="1" applyBorder="1"/>
    <xf numFmtId="3" fontId="22" fillId="0" borderId="33" xfId="0" applyNumberFormat="1" applyFont="1" applyBorder="1" applyAlignment="1">
      <alignment horizontal="center"/>
    </xf>
    <xf numFmtId="3" fontId="22" fillId="0" borderId="52" xfId="0" applyNumberFormat="1" applyFont="1" applyBorder="1" applyAlignment="1">
      <alignment horizontal="center"/>
    </xf>
    <xf numFmtId="3" fontId="34" fillId="2" borderId="60" xfId="0" applyNumberFormat="1" applyFont="1" applyFill="1" applyBorder="1" applyAlignment="1">
      <alignment horizontal="center" vertical="center"/>
    </xf>
    <xf numFmtId="3" fontId="34" fillId="2" borderId="39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16" fillId="0" borderId="49" xfId="0" applyFont="1" applyFill="1" applyBorder="1" applyAlignment="1">
      <alignment horizontal="center"/>
    </xf>
    <xf numFmtId="0" fontId="16" fillId="0" borderId="50" xfId="0" applyFont="1" applyFill="1" applyBorder="1" applyAlignment="1">
      <alignment horizontal="center"/>
    </xf>
    <xf numFmtId="3" fontId="46" fillId="0" borderId="13" xfId="0" applyNumberFormat="1" applyFont="1" applyFill="1" applyBorder="1" applyAlignment="1">
      <alignment horizontal="right" wrapText="1"/>
    </xf>
    <xf numFmtId="3" fontId="46" fillId="0" borderId="18" xfId="0" applyNumberFormat="1" applyFont="1" applyFill="1" applyBorder="1" applyAlignment="1">
      <alignment horizontal="right" wrapText="1"/>
    </xf>
    <xf numFmtId="3" fontId="51" fillId="2" borderId="60" xfId="0" applyNumberFormat="1" applyFont="1" applyFill="1" applyBorder="1" applyAlignment="1">
      <alignment horizontal="right" vertical="center"/>
    </xf>
    <xf numFmtId="3" fontId="51" fillId="2" borderId="39" xfId="0" applyNumberFormat="1" applyFont="1" applyFill="1" applyBorder="1" applyAlignment="1">
      <alignment horizontal="right" vertical="center"/>
    </xf>
    <xf numFmtId="3" fontId="22" fillId="2" borderId="60" xfId="0" applyNumberFormat="1" applyFont="1" applyFill="1" applyBorder="1" applyAlignment="1">
      <alignment horizontal="center" vertical="center"/>
    </xf>
    <xf numFmtId="0" fontId="22" fillId="2" borderId="39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/>
    </xf>
    <xf numFmtId="0" fontId="14" fillId="0" borderId="49" xfId="0" applyFont="1" applyFill="1" applyBorder="1" applyAlignment="1">
      <alignment horizontal="center"/>
    </xf>
    <xf numFmtId="0" fontId="14" fillId="0" borderId="50" xfId="0" applyFont="1" applyFill="1" applyBorder="1" applyAlignment="1">
      <alignment horizontal="center"/>
    </xf>
    <xf numFmtId="0" fontId="22" fillId="0" borderId="36" xfId="0" applyFont="1" applyBorder="1" applyAlignment="1">
      <alignment horizontal="center" wrapText="1"/>
    </xf>
    <xf numFmtId="0" fontId="22" fillId="0" borderId="37" xfId="0" applyFont="1" applyBorder="1" applyAlignment="1">
      <alignment horizontal="center" wrapText="1"/>
    </xf>
    <xf numFmtId="0" fontId="22" fillId="0" borderId="35" xfId="0" applyFont="1" applyBorder="1" applyAlignment="1">
      <alignment horizontal="center" wrapText="1"/>
    </xf>
    <xf numFmtId="0" fontId="51" fillId="2" borderId="23" xfId="0" applyFont="1" applyFill="1" applyBorder="1" applyAlignment="1">
      <alignment horizontal="center" vertical="center"/>
    </xf>
    <xf numFmtId="0" fontId="51" fillId="2" borderId="24" xfId="0" applyFont="1" applyFill="1" applyBorder="1" applyAlignment="1">
      <alignment horizontal="center" vertical="center"/>
    </xf>
    <xf numFmtId="0" fontId="51" fillId="2" borderId="25" xfId="0" applyFont="1" applyFill="1" applyBorder="1" applyAlignment="1">
      <alignment horizontal="center" vertical="center"/>
    </xf>
    <xf numFmtId="3" fontId="51" fillId="2" borderId="26" xfId="0" applyNumberFormat="1" applyFont="1" applyFill="1" applyBorder="1" applyAlignment="1">
      <alignment horizontal="right" vertical="center"/>
    </xf>
    <xf numFmtId="3" fontId="51" fillId="2" borderId="27" xfId="0" applyNumberFormat="1" applyFont="1" applyFill="1" applyBorder="1" applyAlignment="1">
      <alignment horizontal="right" vertical="center"/>
    </xf>
    <xf numFmtId="0" fontId="22" fillId="7" borderId="60" xfId="0" applyFont="1" applyFill="1" applyBorder="1" applyAlignment="1">
      <alignment horizontal="center"/>
    </xf>
    <xf numFmtId="0" fontId="22" fillId="7" borderId="39" xfId="0" applyFont="1" applyFill="1" applyBorder="1" applyAlignment="1">
      <alignment horizontal="center"/>
    </xf>
    <xf numFmtId="0" fontId="28" fillId="0" borderId="9" xfId="0" applyFont="1" applyBorder="1" applyAlignment="1">
      <alignment horizontal="center"/>
    </xf>
    <xf numFmtId="3" fontId="28" fillId="0" borderId="9" xfId="0" applyNumberFormat="1" applyFont="1" applyBorder="1" applyAlignment="1">
      <alignment horizontal="center"/>
    </xf>
    <xf numFmtId="0" fontId="28" fillId="0" borderId="57" xfId="0" applyFont="1" applyBorder="1" applyAlignment="1">
      <alignment horizontal="center"/>
    </xf>
    <xf numFmtId="0" fontId="28" fillId="0" borderId="33" xfId="0" applyFont="1" applyBorder="1" applyAlignment="1"/>
    <xf numFmtId="3" fontId="28" fillId="0" borderId="33" xfId="0" applyNumberFormat="1" applyFont="1" applyBorder="1" applyAlignment="1">
      <alignment horizontal="center"/>
    </xf>
    <xf numFmtId="3" fontId="28" fillId="0" borderId="52" xfId="0" applyNumberFormat="1" applyFont="1" applyBorder="1" applyAlignment="1">
      <alignment horizontal="center"/>
    </xf>
    <xf numFmtId="0" fontId="38" fillId="0" borderId="48" xfId="0" applyFont="1" applyFill="1" applyBorder="1" applyAlignment="1">
      <alignment horizontal="center"/>
    </xf>
    <xf numFmtId="0" fontId="38" fillId="0" borderId="49" xfId="0" applyFont="1" applyFill="1" applyBorder="1" applyAlignment="1">
      <alignment horizontal="center"/>
    </xf>
    <xf numFmtId="0" fontId="38" fillId="0" borderId="50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 vertical="center"/>
    </xf>
    <xf numFmtId="0" fontId="37" fillId="0" borderId="49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/>
    </xf>
    <xf numFmtId="0" fontId="38" fillId="0" borderId="41" xfId="0" applyFont="1" applyFill="1" applyBorder="1" applyAlignment="1">
      <alignment horizontal="center"/>
    </xf>
    <xf numFmtId="0" fontId="34" fillId="2" borderId="23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3" fontId="34" fillId="2" borderId="26" xfId="0" applyNumberFormat="1" applyFont="1" applyFill="1" applyBorder="1" applyAlignment="1">
      <alignment horizontal="center" vertical="center"/>
    </xf>
    <xf numFmtId="3" fontId="34" fillId="2" borderId="27" xfId="0" applyNumberFormat="1" applyFont="1" applyFill="1" applyBorder="1" applyAlignment="1">
      <alignment horizontal="center" vertical="center"/>
    </xf>
    <xf numFmtId="0" fontId="44" fillId="0" borderId="36" xfId="0" applyFont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 wrapText="1"/>
    </xf>
    <xf numFmtId="0" fontId="44" fillId="0" borderId="35" xfId="0" applyFont="1" applyBorder="1" applyAlignment="1">
      <alignment horizontal="center" vertical="center" wrapText="1"/>
    </xf>
    <xf numFmtId="0" fontId="44" fillId="7" borderId="60" xfId="0" applyFont="1" applyFill="1" applyBorder="1" applyAlignment="1">
      <alignment horizontal="center" vertical="center"/>
    </xf>
    <xf numFmtId="0" fontId="44" fillId="7" borderId="3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/>
    </xf>
    <xf numFmtId="3" fontId="44" fillId="0" borderId="9" xfId="0" applyNumberFormat="1" applyFont="1" applyBorder="1" applyAlignment="1">
      <alignment horizontal="center"/>
    </xf>
    <xf numFmtId="0" fontId="44" fillId="0" borderId="57" xfId="0" applyFont="1" applyBorder="1" applyAlignment="1">
      <alignment horizontal="center"/>
    </xf>
    <xf numFmtId="2" fontId="46" fillId="0" borderId="13" xfId="0" applyNumberFormat="1" applyFont="1" applyFill="1" applyBorder="1" applyAlignment="1">
      <alignment horizontal="left" vertical="center" wrapText="1"/>
    </xf>
    <xf numFmtId="3" fontId="37" fillId="0" borderId="13" xfId="0" applyNumberFormat="1" applyFont="1" applyFill="1" applyBorder="1" applyAlignment="1">
      <alignment horizontal="center" vertical="center" wrapText="1"/>
    </xf>
    <xf numFmtId="3" fontId="37" fillId="0" borderId="18" xfId="0" applyNumberFormat="1" applyFont="1" applyFill="1" applyBorder="1" applyAlignment="1">
      <alignment horizontal="center" vertical="center" wrapText="1"/>
    </xf>
    <xf numFmtId="2" fontId="46" fillId="0" borderId="13" xfId="0" applyNumberFormat="1" applyFont="1" applyFill="1" applyBorder="1" applyAlignment="1">
      <alignment horizontal="left" wrapText="1"/>
    </xf>
    <xf numFmtId="3" fontId="37" fillId="0" borderId="13" xfId="0" applyNumberFormat="1" applyFont="1" applyFill="1" applyBorder="1" applyAlignment="1">
      <alignment horizontal="center" wrapText="1"/>
    </xf>
    <xf numFmtId="3" fontId="37" fillId="0" borderId="18" xfId="0" applyNumberFormat="1" applyFont="1" applyFill="1" applyBorder="1" applyAlignment="1">
      <alignment horizontal="center" wrapText="1"/>
    </xf>
    <xf numFmtId="0" fontId="46" fillId="0" borderId="13" xfId="0" applyFont="1" applyFill="1" applyBorder="1" applyAlignment="1"/>
    <xf numFmtId="0" fontId="44" fillId="0" borderId="33" xfId="0" applyFont="1" applyBorder="1"/>
    <xf numFmtId="3" fontId="44" fillId="0" borderId="33" xfId="0" applyNumberFormat="1" applyFont="1" applyBorder="1" applyAlignment="1">
      <alignment horizontal="center"/>
    </xf>
    <xf numFmtId="3" fontId="44" fillId="0" borderId="52" xfId="0" applyNumberFormat="1" applyFont="1" applyBorder="1" applyAlignment="1">
      <alignment horizontal="center"/>
    </xf>
    <xf numFmtId="0" fontId="44" fillId="2" borderId="55" xfId="0" applyFont="1" applyFill="1" applyBorder="1" applyAlignment="1">
      <alignment horizontal="center" vertical="center"/>
    </xf>
    <xf numFmtId="0" fontId="44" fillId="2" borderId="60" xfId="0" applyFont="1" applyFill="1" applyBorder="1" applyAlignment="1">
      <alignment horizontal="center" vertical="center"/>
    </xf>
    <xf numFmtId="3" fontId="10" fillId="2" borderId="60" xfId="0" applyNumberFormat="1" applyFont="1" applyFill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37" fillId="0" borderId="48" xfId="0" applyFont="1" applyFill="1" applyBorder="1" applyAlignment="1">
      <alignment horizontal="center"/>
    </xf>
    <xf numFmtId="0" fontId="37" fillId="0" borderId="49" xfId="0" applyFont="1" applyFill="1" applyBorder="1" applyAlignment="1">
      <alignment horizontal="center"/>
    </xf>
    <xf numFmtId="0" fontId="37" fillId="0" borderId="50" xfId="0" applyFont="1" applyFill="1" applyBorder="1" applyAlignment="1">
      <alignment horizontal="center"/>
    </xf>
    <xf numFmtId="0" fontId="22" fillId="7" borderId="112" xfId="0" applyFont="1" applyFill="1" applyBorder="1" applyAlignment="1">
      <alignment horizontal="center" vertical="center"/>
    </xf>
    <xf numFmtId="0" fontId="22" fillId="7" borderId="111" xfId="0" applyFont="1" applyFill="1" applyBorder="1" applyAlignment="1">
      <alignment horizontal="center" vertical="center"/>
    </xf>
    <xf numFmtId="0" fontId="22" fillId="7" borderId="122" xfId="0" applyFont="1" applyFill="1" applyBorder="1" applyAlignment="1">
      <alignment horizontal="center" vertical="center"/>
    </xf>
    <xf numFmtId="0" fontId="22" fillId="7" borderId="72" xfId="0" applyFont="1" applyFill="1" applyBorder="1" applyAlignment="1">
      <alignment horizontal="center" vertical="center"/>
    </xf>
    <xf numFmtId="2" fontId="23" fillId="0" borderId="14" xfId="0" applyNumberFormat="1" applyFont="1" applyFill="1" applyBorder="1" applyAlignment="1">
      <alignment horizontal="left" wrapText="1"/>
    </xf>
    <xf numFmtId="2" fontId="23" fillId="0" borderId="12" xfId="0" applyNumberFormat="1" applyFont="1" applyFill="1" applyBorder="1" applyAlignment="1">
      <alignment horizontal="left" wrapText="1"/>
    </xf>
    <xf numFmtId="2" fontId="23" fillId="0" borderId="16" xfId="0" applyNumberFormat="1" applyFont="1" applyFill="1" applyBorder="1" applyAlignment="1">
      <alignment horizontal="left" wrapText="1"/>
    </xf>
    <xf numFmtId="0" fontId="22" fillId="0" borderId="123" xfId="0" applyFont="1" applyBorder="1" applyAlignment="1">
      <alignment horizontal="center"/>
    </xf>
    <xf numFmtId="0" fontId="22" fillId="0" borderId="125" xfId="0" applyFont="1" applyBorder="1" applyAlignment="1">
      <alignment horizontal="center"/>
    </xf>
    <xf numFmtId="0" fontId="22" fillId="0" borderId="126" xfId="0" applyFont="1" applyBorder="1" applyAlignment="1">
      <alignment horizontal="center"/>
    </xf>
    <xf numFmtId="3" fontId="22" fillId="0" borderId="123" xfId="0" applyNumberFormat="1" applyFont="1" applyBorder="1" applyAlignment="1">
      <alignment horizontal="center"/>
    </xf>
    <xf numFmtId="3" fontId="22" fillId="0" borderId="124" xfId="0" applyNumberFormat="1" applyFont="1" applyBorder="1" applyAlignment="1">
      <alignment horizontal="center"/>
    </xf>
    <xf numFmtId="2" fontId="23" fillId="0" borderId="14" xfId="0" applyNumberFormat="1" applyFont="1" applyFill="1" applyBorder="1" applyAlignment="1">
      <alignment horizontal="left" vertical="center" wrapText="1"/>
    </xf>
    <xf numFmtId="2" fontId="23" fillId="0" borderId="12" xfId="0" applyNumberFormat="1" applyFont="1" applyFill="1" applyBorder="1" applyAlignment="1">
      <alignment horizontal="left" vertical="center" wrapText="1"/>
    </xf>
    <xf numFmtId="2" fontId="23" fillId="0" borderId="16" xfId="0" applyNumberFormat="1" applyFont="1" applyFill="1" applyBorder="1" applyAlignment="1">
      <alignment horizontal="left" vertical="center" wrapText="1"/>
    </xf>
    <xf numFmtId="0" fontId="23" fillId="2" borderId="38" xfId="0" applyFont="1" applyFill="1" applyBorder="1" applyAlignment="1">
      <alignment horizontal="center" vertical="center"/>
    </xf>
    <xf numFmtId="0" fontId="23" fillId="2" borderId="111" xfId="0" applyFont="1" applyFill="1" applyBorder="1" applyAlignment="1">
      <alignment horizontal="center" vertical="center"/>
    </xf>
    <xf numFmtId="0" fontId="23" fillId="2" borderId="122" xfId="0" applyFont="1" applyFill="1" applyBorder="1" applyAlignment="1">
      <alignment horizontal="center" vertical="center"/>
    </xf>
    <xf numFmtId="3" fontId="23" fillId="2" borderId="112" xfId="0" applyNumberFormat="1" applyFont="1" applyFill="1" applyBorder="1" applyAlignment="1">
      <alignment horizontal="center" vertical="center"/>
    </xf>
    <xf numFmtId="3" fontId="23" fillId="2" borderId="72" xfId="0" applyNumberFormat="1" applyFont="1" applyFill="1" applyBorder="1" applyAlignment="1">
      <alignment horizontal="center" vertical="center"/>
    </xf>
    <xf numFmtId="0" fontId="51" fillId="2" borderId="38" xfId="0" applyFont="1" applyFill="1" applyBorder="1" applyAlignment="1">
      <alignment horizontal="center" vertical="center"/>
    </xf>
    <xf numFmtId="0" fontId="51" fillId="2" borderId="111" xfId="0" applyFont="1" applyFill="1" applyBorder="1" applyAlignment="1">
      <alignment horizontal="center" vertical="center"/>
    </xf>
    <xf numFmtId="0" fontId="51" fillId="2" borderId="122" xfId="0" applyFont="1" applyFill="1" applyBorder="1" applyAlignment="1">
      <alignment horizontal="center" vertical="center"/>
    </xf>
    <xf numFmtId="3" fontId="51" fillId="2" borderId="112" xfId="0" applyNumberFormat="1" applyFont="1" applyFill="1" applyBorder="1" applyAlignment="1">
      <alignment horizontal="center" vertical="center"/>
    </xf>
    <xf numFmtId="3" fontId="51" fillId="2" borderId="72" xfId="0" applyNumberFormat="1" applyFont="1" applyFill="1" applyBorder="1" applyAlignment="1">
      <alignment horizontal="center" vertical="center"/>
    </xf>
  </cellXfs>
  <cellStyles count="3">
    <cellStyle name="Milliers" xfId="1" builtinId="3"/>
    <cellStyle name="Millier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4" name="Rectangle 2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5" name="Rectangle 2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6" name="Rectangle 2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7" name="Rectangle 2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8" name="Rectangle 2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19" name="Rectangle 2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20" name="Rectangle 2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21" name="Rectangle 3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22" name="Rectangle 3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23" name="Rectangle 3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24" name="Rectangle 3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6</xdr:col>
      <xdr:colOff>0</xdr:colOff>
      <xdr:row>290</xdr:row>
      <xdr:rowOff>0</xdr:rowOff>
    </xdr:from>
    <xdr:to>
      <xdr:col>6</xdr:col>
      <xdr:colOff>0</xdr:colOff>
      <xdr:row>290</xdr:row>
      <xdr:rowOff>0</xdr:rowOff>
    </xdr:to>
    <xdr:sp macro="" textlink="">
      <xdr:nvSpPr>
        <xdr:cNvPr id="25" name="Rectangle 3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rrowheads="1"/>
        </xdr:cNvSpPr>
      </xdr:nvSpPr>
      <xdr:spPr bwMode="auto">
        <a:xfrm>
          <a:off x="6276975" y="34051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23"/>
  <sheetViews>
    <sheetView topLeftCell="A6" zoomScaleNormal="100" zoomScaleSheetLayoutView="100" workbookViewId="0">
      <selection activeCell="D15" sqref="D15"/>
    </sheetView>
  </sheetViews>
  <sheetFormatPr baseColWidth="10" defaultRowHeight="14.4" x14ac:dyDescent="0.3"/>
  <cols>
    <col min="1" max="1" width="7.6640625" customWidth="1"/>
    <col min="2" max="2" width="11.44140625" customWidth="1"/>
    <col min="3" max="3" width="35.5546875" customWidth="1"/>
    <col min="4" max="4" width="36" customWidth="1"/>
  </cols>
  <sheetData>
    <row r="2" spans="1:4" ht="31.5" customHeight="1" x14ac:dyDescent="0.3">
      <c r="A2" s="758" t="s">
        <v>534</v>
      </c>
      <c r="B2" s="758"/>
      <c r="C2" s="758"/>
      <c r="D2" s="758"/>
    </row>
    <row r="3" spans="1:4" ht="12.75" customHeight="1" x14ac:dyDescent="0.3">
      <c r="A3" s="168"/>
      <c r="B3" s="168"/>
      <c r="C3" s="168"/>
      <c r="D3" s="168"/>
    </row>
    <row r="4" spans="1:4" x14ac:dyDescent="0.3">
      <c r="A4" t="s">
        <v>499</v>
      </c>
    </row>
    <row r="5" spans="1:4" x14ac:dyDescent="0.3">
      <c r="A5" s="759" t="s">
        <v>500</v>
      </c>
      <c r="B5" s="759"/>
      <c r="C5" s="759"/>
      <c r="D5" s="17"/>
    </row>
    <row r="6" spans="1:4" x14ac:dyDescent="0.3">
      <c r="A6" s="760" t="s">
        <v>517</v>
      </c>
      <c r="B6" s="760"/>
      <c r="C6" s="760"/>
    </row>
    <row r="8" spans="1:4" ht="15" thickBot="1" x14ac:dyDescent="0.35"/>
    <row r="9" spans="1:4" s="413" customFormat="1" ht="24.9" customHeight="1" thickTop="1" thickBot="1" x14ac:dyDescent="0.35">
      <c r="A9" s="415" t="s">
        <v>38</v>
      </c>
      <c r="B9" s="426" t="s">
        <v>502</v>
      </c>
      <c r="C9" s="426" t="s">
        <v>501</v>
      </c>
      <c r="D9" s="423" t="s">
        <v>505</v>
      </c>
    </row>
    <row r="10" spans="1:4" s="18" customFormat="1" ht="25.2" thickTop="1" x14ac:dyDescent="0.3">
      <c r="A10" s="416">
        <v>1</v>
      </c>
      <c r="B10" s="761" t="s">
        <v>503</v>
      </c>
      <c r="C10" s="427" t="s">
        <v>511</v>
      </c>
      <c r="D10" s="424" t="s">
        <v>506</v>
      </c>
    </row>
    <row r="11" spans="1:4" s="18" customFormat="1" ht="15" customHeight="1" thickBot="1" x14ac:dyDescent="0.35">
      <c r="A11" s="417">
        <v>2</v>
      </c>
      <c r="B11" s="762"/>
      <c r="C11" s="428" t="s">
        <v>504</v>
      </c>
      <c r="D11" s="425" t="s">
        <v>515</v>
      </c>
    </row>
    <row r="12" spans="1:4" s="18" customFormat="1" x14ac:dyDescent="0.3">
      <c r="A12" s="418">
        <v>3</v>
      </c>
      <c r="B12" s="755" t="s">
        <v>508</v>
      </c>
      <c r="C12" s="427" t="s">
        <v>509</v>
      </c>
      <c r="D12" s="574" t="s">
        <v>510</v>
      </c>
    </row>
    <row r="13" spans="1:4" ht="15" thickBot="1" x14ac:dyDescent="0.35">
      <c r="A13" s="417">
        <v>4</v>
      </c>
      <c r="B13" s="756"/>
      <c r="C13" s="576" t="s">
        <v>512</v>
      </c>
      <c r="D13" s="575" t="s">
        <v>510</v>
      </c>
    </row>
    <row r="14" spans="1:4" ht="20.100000000000001" customHeight="1" thickBot="1" x14ac:dyDescent="0.35">
      <c r="A14" s="419">
        <v>5</v>
      </c>
      <c r="B14" s="429" t="s">
        <v>519</v>
      </c>
      <c r="C14" s="577" t="s">
        <v>520</v>
      </c>
      <c r="D14" s="578" t="s">
        <v>515</v>
      </c>
    </row>
    <row r="15" spans="1:4" s="18" customFormat="1" x14ac:dyDescent="0.3">
      <c r="A15" s="420">
        <v>6</v>
      </c>
      <c r="B15" s="757" t="s">
        <v>521</v>
      </c>
      <c r="C15" s="464" t="s">
        <v>514</v>
      </c>
      <c r="D15" s="579" t="s">
        <v>515</v>
      </c>
    </row>
    <row r="16" spans="1:4" ht="15" thickBot="1" x14ac:dyDescent="0.35">
      <c r="A16" s="421">
        <v>7</v>
      </c>
      <c r="B16" s="757"/>
      <c r="C16" s="581" t="s">
        <v>516</v>
      </c>
      <c r="D16" s="580" t="s">
        <v>515</v>
      </c>
    </row>
    <row r="17" spans="1:4" s="18" customFormat="1" x14ac:dyDescent="0.3">
      <c r="A17" s="418">
        <v>8</v>
      </c>
      <c r="B17" s="755" t="s">
        <v>525</v>
      </c>
      <c r="C17" s="430" t="s">
        <v>523</v>
      </c>
      <c r="D17" s="574" t="s">
        <v>515</v>
      </c>
    </row>
    <row r="18" spans="1:4" ht="15" thickBot="1" x14ac:dyDescent="0.35">
      <c r="A18" s="417">
        <v>9</v>
      </c>
      <c r="B18" s="756"/>
      <c r="C18" s="428" t="s">
        <v>522</v>
      </c>
      <c r="D18" s="575" t="s">
        <v>515</v>
      </c>
    </row>
    <row r="19" spans="1:4" s="18" customFormat="1" x14ac:dyDescent="0.3">
      <c r="A19" s="418">
        <v>10</v>
      </c>
      <c r="B19" s="755" t="s">
        <v>528</v>
      </c>
      <c r="C19" s="427" t="s">
        <v>529</v>
      </c>
      <c r="D19" s="574" t="s">
        <v>515</v>
      </c>
    </row>
    <row r="20" spans="1:4" ht="15" thickBot="1" x14ac:dyDescent="0.35">
      <c r="A20" s="417">
        <v>11</v>
      </c>
      <c r="B20" s="756"/>
      <c r="C20" s="576" t="s">
        <v>530</v>
      </c>
      <c r="D20" s="575" t="s">
        <v>515</v>
      </c>
    </row>
    <row r="21" spans="1:4" ht="15" customHeight="1" x14ac:dyDescent="0.3">
      <c r="A21" s="422">
        <v>12</v>
      </c>
      <c r="B21" s="432" t="s">
        <v>532</v>
      </c>
      <c r="C21" s="464" t="s">
        <v>526</v>
      </c>
      <c r="D21" s="582" t="s">
        <v>515</v>
      </c>
    </row>
    <row r="22" spans="1:4" ht="7.5" customHeight="1" thickBot="1" x14ac:dyDescent="0.35">
      <c r="A22" s="414"/>
      <c r="B22" s="435"/>
      <c r="C22" s="434"/>
      <c r="D22" s="433"/>
    </row>
    <row r="23" spans="1:4" ht="15" thickTop="1" x14ac:dyDescent="0.3"/>
  </sheetData>
  <mergeCells count="8">
    <mergeCell ref="B19:B20"/>
    <mergeCell ref="B17:B18"/>
    <mergeCell ref="B15:B16"/>
    <mergeCell ref="A2:D2"/>
    <mergeCell ref="A5:C5"/>
    <mergeCell ref="A6:C6"/>
    <mergeCell ref="B10:B11"/>
    <mergeCell ref="B12:B13"/>
  </mergeCells>
  <pageMargins left="0.7" right="0.7" top="0.75" bottom="0.75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0"/>
  <sheetViews>
    <sheetView topLeftCell="A169" workbookViewId="0">
      <selection activeCell="E165" sqref="E165:F165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style="684" customWidth="1"/>
    <col min="6" max="6" width="15.6640625" customWidth="1"/>
  </cols>
  <sheetData>
    <row r="1" spans="1:6" s="19" customFormat="1" x14ac:dyDescent="0.3">
      <c r="A1" s="227"/>
      <c r="E1" s="661"/>
    </row>
    <row r="2" spans="1:6" ht="15.6" x14ac:dyDescent="0.3">
      <c r="A2" s="820" t="s">
        <v>609</v>
      </c>
      <c r="B2" s="820"/>
      <c r="C2" s="820"/>
      <c r="D2" s="820"/>
      <c r="E2" s="820"/>
      <c r="F2" s="820"/>
    </row>
    <row r="3" spans="1:6" ht="15.6" x14ac:dyDescent="0.3">
      <c r="A3" s="820" t="s">
        <v>489</v>
      </c>
      <c r="B3" s="820"/>
      <c r="C3" s="820"/>
      <c r="D3" s="820"/>
      <c r="E3" s="820"/>
      <c r="F3" s="820"/>
    </row>
    <row r="4" spans="1:6" ht="15" thickBot="1" x14ac:dyDescent="0.35">
      <c r="A4" s="227"/>
      <c r="B4" s="19"/>
      <c r="C4" s="19"/>
      <c r="D4" s="19"/>
      <c r="E4" s="661"/>
      <c r="F4" s="19"/>
    </row>
    <row r="5" spans="1:6" ht="24.9" customHeight="1" thickTop="1" x14ac:dyDescent="0.3">
      <c r="A5" s="542" t="s">
        <v>38</v>
      </c>
      <c r="B5" s="231" t="s">
        <v>0</v>
      </c>
      <c r="C5" s="230" t="s">
        <v>1</v>
      </c>
      <c r="D5" s="232" t="s">
        <v>83</v>
      </c>
      <c r="E5" s="233" t="s">
        <v>104</v>
      </c>
      <c r="F5" s="234" t="s">
        <v>2</v>
      </c>
    </row>
    <row r="6" spans="1:6" x14ac:dyDescent="0.3">
      <c r="A6" s="543"/>
      <c r="B6" s="235"/>
      <c r="C6" s="236"/>
      <c r="D6" s="237"/>
      <c r="E6" s="662"/>
      <c r="F6" s="238"/>
    </row>
    <row r="7" spans="1:6" x14ac:dyDescent="0.3">
      <c r="A7" s="629" t="s">
        <v>143</v>
      </c>
      <c r="B7" s="630" t="s">
        <v>95</v>
      </c>
      <c r="C7" s="50"/>
      <c r="D7" s="92"/>
      <c r="E7" s="657"/>
      <c r="F7" s="93"/>
    </row>
    <row r="8" spans="1:6" x14ac:dyDescent="0.3">
      <c r="A8" s="42"/>
      <c r="B8" s="538"/>
      <c r="C8" s="534"/>
      <c r="D8" s="535"/>
      <c r="E8" s="663"/>
      <c r="F8" s="616"/>
    </row>
    <row r="9" spans="1:6" x14ac:dyDescent="0.3">
      <c r="A9" s="42" t="s">
        <v>96</v>
      </c>
      <c r="B9" s="91" t="s">
        <v>88</v>
      </c>
      <c r="C9" s="631"/>
      <c r="D9" s="632"/>
      <c r="E9" s="646"/>
      <c r="F9" s="93"/>
    </row>
    <row r="10" spans="1:6" x14ac:dyDescent="0.3">
      <c r="A10" s="43" t="s">
        <v>97</v>
      </c>
      <c r="B10" s="94" t="s">
        <v>99</v>
      </c>
      <c r="C10" s="161" t="s">
        <v>412</v>
      </c>
      <c r="D10" s="164">
        <f>8*3.6</f>
        <v>28.8</v>
      </c>
      <c r="E10" s="602"/>
      <c r="F10" s="603"/>
    </row>
    <row r="11" spans="1:6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602"/>
      <c r="F11" s="603"/>
    </row>
    <row r="12" spans="1:6" ht="15" thickBot="1" x14ac:dyDescent="0.35">
      <c r="A12" s="43"/>
      <c r="B12" s="539"/>
      <c r="C12" s="540"/>
      <c r="D12" s="541"/>
      <c r="E12" s="663"/>
      <c r="F12" s="537"/>
    </row>
    <row r="13" spans="1:6" ht="15" thickBot="1" x14ac:dyDescent="0.35">
      <c r="A13" s="767" t="s">
        <v>189</v>
      </c>
      <c r="B13" s="768"/>
      <c r="C13" s="768"/>
      <c r="D13" s="768"/>
      <c r="E13" s="768"/>
      <c r="F13" s="586"/>
    </row>
    <row r="14" spans="1:6" x14ac:dyDescent="0.3">
      <c r="A14" s="43"/>
      <c r="B14" s="539"/>
      <c r="C14" s="540"/>
      <c r="D14" s="541"/>
      <c r="E14" s="663"/>
      <c r="F14" s="537"/>
    </row>
    <row r="15" spans="1:6" x14ac:dyDescent="0.3">
      <c r="A15" s="58" t="s">
        <v>144</v>
      </c>
      <c r="B15" s="526" t="s">
        <v>575</v>
      </c>
      <c r="C15" s="60"/>
      <c r="D15" s="394"/>
      <c r="E15" s="393"/>
      <c r="F15" s="476"/>
    </row>
    <row r="16" spans="1:6" x14ac:dyDescent="0.3">
      <c r="A16" s="279"/>
      <c r="B16" s="239"/>
      <c r="C16" s="641"/>
      <c r="D16" s="642"/>
      <c r="E16" s="664"/>
      <c r="F16" s="284"/>
    </row>
    <row r="17" spans="1:6" x14ac:dyDescent="0.3">
      <c r="A17" s="279" t="s">
        <v>101</v>
      </c>
      <c r="B17" s="239" t="s">
        <v>540</v>
      </c>
      <c r="C17" s="241"/>
      <c r="D17" s="242"/>
      <c r="E17" s="665"/>
      <c r="F17" s="244"/>
    </row>
    <row r="18" spans="1:6" x14ac:dyDescent="0.3">
      <c r="A18" s="544" t="s">
        <v>102</v>
      </c>
      <c r="B18" s="245" t="s">
        <v>435</v>
      </c>
      <c r="C18" s="246" t="s">
        <v>8</v>
      </c>
      <c r="D18" s="247">
        <f>8.06*4.44*1.1</f>
        <v>39.365040000000015</v>
      </c>
      <c r="E18" s="560"/>
      <c r="F18" s="248"/>
    </row>
    <row r="19" spans="1:6" x14ac:dyDescent="0.3">
      <c r="A19" s="544" t="s">
        <v>543</v>
      </c>
      <c r="B19" s="245" t="s">
        <v>436</v>
      </c>
      <c r="C19" s="246" t="s">
        <v>3</v>
      </c>
      <c r="D19" s="247">
        <f>+D18*0.3</f>
        <v>11.809512000000003</v>
      </c>
      <c r="E19" s="560"/>
      <c r="F19" s="248"/>
    </row>
    <row r="20" spans="1:6" x14ac:dyDescent="0.3">
      <c r="A20" s="544" t="s">
        <v>472</v>
      </c>
      <c r="B20" s="245" t="s">
        <v>437</v>
      </c>
      <c r="C20" s="246" t="s">
        <v>3</v>
      </c>
      <c r="D20" s="247">
        <f>+D19</f>
        <v>11.809512000000003</v>
      </c>
      <c r="E20" s="560"/>
      <c r="F20" s="248"/>
    </row>
    <row r="21" spans="1:6" x14ac:dyDescent="0.3">
      <c r="A21" s="44" t="s">
        <v>105</v>
      </c>
      <c r="B21" s="97" t="s">
        <v>110</v>
      </c>
      <c r="C21" s="162"/>
      <c r="D21" s="164"/>
      <c r="E21" s="685"/>
      <c r="F21" s="248"/>
    </row>
    <row r="22" spans="1:6" x14ac:dyDescent="0.3">
      <c r="A22" s="43" t="s">
        <v>109</v>
      </c>
      <c r="B22" s="94" t="s">
        <v>610</v>
      </c>
      <c r="C22" s="161" t="s">
        <v>413</v>
      </c>
      <c r="D22" s="164">
        <v>3.21</v>
      </c>
      <c r="E22" s="602"/>
      <c r="F22" s="248"/>
    </row>
    <row r="23" spans="1:6" x14ac:dyDescent="0.3">
      <c r="A23" s="44" t="s">
        <v>546</v>
      </c>
      <c r="B23" s="97" t="s">
        <v>611</v>
      </c>
      <c r="C23" s="162"/>
      <c r="D23" s="164"/>
      <c r="E23" s="602"/>
      <c r="F23" s="248"/>
    </row>
    <row r="24" spans="1:6" x14ac:dyDescent="0.3">
      <c r="A24" s="43" t="s">
        <v>547</v>
      </c>
      <c r="B24" s="94" t="s">
        <v>107</v>
      </c>
      <c r="C24" s="161" t="s">
        <v>413</v>
      </c>
      <c r="D24" s="164">
        <f>+D22*0.5</f>
        <v>1.605</v>
      </c>
      <c r="E24" s="602"/>
      <c r="F24" s="248"/>
    </row>
    <row r="25" spans="1:6" ht="15" thickBot="1" x14ac:dyDescent="0.35">
      <c r="A25" s="545"/>
      <c r="B25" s="249"/>
      <c r="C25" s="250"/>
      <c r="D25" s="250"/>
      <c r="E25" s="666"/>
      <c r="F25" s="370"/>
    </row>
    <row r="26" spans="1:6" ht="15" thickBot="1" x14ac:dyDescent="0.35">
      <c r="A26" s="852" t="s">
        <v>190</v>
      </c>
      <c r="B26" s="853"/>
      <c r="C26" s="853"/>
      <c r="D26" s="853"/>
      <c r="E26" s="854"/>
      <c r="F26" s="251"/>
    </row>
    <row r="27" spans="1:6" x14ac:dyDescent="0.3">
      <c r="A27" s="252"/>
      <c r="B27" s="253"/>
      <c r="C27" s="254"/>
      <c r="D27" s="253"/>
      <c r="E27" s="667"/>
      <c r="F27" s="240"/>
    </row>
    <row r="28" spans="1:6" x14ac:dyDescent="0.3">
      <c r="A28" s="58" t="s">
        <v>136</v>
      </c>
      <c r="B28" s="526" t="s">
        <v>612</v>
      </c>
      <c r="C28" s="60"/>
      <c r="D28" s="394"/>
      <c r="E28" s="393"/>
      <c r="F28" s="476"/>
    </row>
    <row r="29" spans="1:6" x14ac:dyDescent="0.3">
      <c r="A29" s="256"/>
      <c r="B29" s="239"/>
      <c r="C29" s="257"/>
      <c r="D29" s="258"/>
      <c r="E29" s="265"/>
      <c r="F29" s="260"/>
    </row>
    <row r="30" spans="1:6" x14ac:dyDescent="0.3">
      <c r="A30" s="256" t="s">
        <v>4</v>
      </c>
      <c r="B30" s="261" t="s">
        <v>579</v>
      </c>
      <c r="C30" s="257"/>
      <c r="D30" s="258"/>
      <c r="E30" s="265"/>
      <c r="F30" s="260"/>
    </row>
    <row r="31" spans="1:6" s="613" customFormat="1" x14ac:dyDescent="0.3">
      <c r="A31" s="256" t="s">
        <v>5</v>
      </c>
      <c r="B31" s="328" t="s">
        <v>114</v>
      </c>
      <c r="C31" s="257" t="s">
        <v>3</v>
      </c>
      <c r="D31" s="264">
        <f>(0.9*0.9*0.05*9)*1.2*1.2</f>
        <v>0.52488000000000001</v>
      </c>
      <c r="E31" s="287"/>
      <c r="F31" s="296"/>
    </row>
    <row r="32" spans="1:6" x14ac:dyDescent="0.3">
      <c r="A32" s="256" t="s">
        <v>9</v>
      </c>
      <c r="B32" s="549" t="s">
        <v>613</v>
      </c>
      <c r="C32" s="257"/>
      <c r="D32" s="258"/>
      <c r="E32" s="265"/>
      <c r="F32" s="296"/>
    </row>
    <row r="33" spans="1:6" x14ac:dyDescent="0.3">
      <c r="A33" s="262" t="s">
        <v>115</v>
      </c>
      <c r="B33" s="263" t="s">
        <v>138</v>
      </c>
      <c r="C33" s="257" t="s">
        <v>3</v>
      </c>
      <c r="D33" s="264">
        <f>(0.9*0.9*0.15*9+0.3*0.3*0.45*9+2*0.6*0.27*1.18)*1.2*1.2</f>
        <v>2.6500607999999994</v>
      </c>
      <c r="E33" s="265"/>
      <c r="F33" s="296"/>
    </row>
    <row r="34" spans="1:6" x14ac:dyDescent="0.3">
      <c r="A34" s="262" t="s">
        <v>116</v>
      </c>
      <c r="B34" s="263" t="s">
        <v>658</v>
      </c>
      <c r="C34" s="257" t="s">
        <v>84</v>
      </c>
      <c r="D34" s="264">
        <f>+D33*80</f>
        <v>212.00486399999994</v>
      </c>
      <c r="E34" s="265"/>
      <c r="F34" s="296"/>
    </row>
    <row r="35" spans="1:6" x14ac:dyDescent="0.3">
      <c r="A35" s="262" t="s">
        <v>661</v>
      </c>
      <c r="B35" s="263" t="s">
        <v>581</v>
      </c>
      <c r="C35" s="257" t="s">
        <v>8</v>
      </c>
      <c r="D35" s="264">
        <f>2*0.3*0.45*9</f>
        <v>2.4300000000000002</v>
      </c>
      <c r="E35" s="265"/>
      <c r="F35" s="296"/>
    </row>
    <row r="36" spans="1:6" x14ac:dyDescent="0.3">
      <c r="A36" s="256" t="s">
        <v>10</v>
      </c>
      <c r="B36" s="261" t="s">
        <v>586</v>
      </c>
      <c r="C36" s="257"/>
      <c r="D36" s="264"/>
      <c r="E36" s="265"/>
      <c r="F36" s="296"/>
    </row>
    <row r="37" spans="1:6" x14ac:dyDescent="0.3">
      <c r="A37" s="256" t="s">
        <v>11</v>
      </c>
      <c r="B37" s="550" t="s">
        <v>659</v>
      </c>
      <c r="C37" s="267"/>
      <c r="D37" s="268"/>
      <c r="E37" s="265"/>
      <c r="F37" s="296"/>
    </row>
    <row r="38" spans="1:6" x14ac:dyDescent="0.3">
      <c r="A38" s="262" t="s">
        <v>147</v>
      </c>
      <c r="B38" s="266" t="s">
        <v>138</v>
      </c>
      <c r="C38" s="267" t="s">
        <v>3</v>
      </c>
      <c r="D38" s="268">
        <f>(3*0.45*0.3*11.26+(5.2*6.06*0.1)*1.2)</f>
        <v>8.3417399999999997</v>
      </c>
      <c r="E38" s="265"/>
      <c r="F38" s="296"/>
    </row>
    <row r="39" spans="1:6" x14ac:dyDescent="0.3">
      <c r="A39" s="262" t="s">
        <v>148</v>
      </c>
      <c r="B39" s="266" t="s">
        <v>658</v>
      </c>
      <c r="C39" s="267" t="s">
        <v>84</v>
      </c>
      <c r="D39" s="268">
        <f>+D38*100</f>
        <v>834.17399999999998</v>
      </c>
      <c r="E39" s="265"/>
      <c r="F39" s="296"/>
    </row>
    <row r="40" spans="1:6" x14ac:dyDescent="0.3">
      <c r="A40" s="262" t="s">
        <v>149</v>
      </c>
      <c r="B40" s="266" t="s">
        <v>581</v>
      </c>
      <c r="C40" s="267" t="s">
        <v>8</v>
      </c>
      <c r="D40" s="268">
        <f>+D38*12</f>
        <v>100.10087999999999</v>
      </c>
      <c r="E40" s="265"/>
      <c r="F40" s="296"/>
    </row>
    <row r="41" spans="1:6" s="504" customFormat="1" ht="15" customHeight="1" x14ac:dyDescent="0.3">
      <c r="A41" s="64" t="s">
        <v>12</v>
      </c>
      <c r="B41" s="395" t="s">
        <v>481</v>
      </c>
      <c r="C41" s="514"/>
      <c r="D41" s="515"/>
      <c r="E41" s="401"/>
      <c r="F41" s="385"/>
    </row>
    <row r="42" spans="1:6" s="504" customFormat="1" ht="15" customHeight="1" x14ac:dyDescent="0.3">
      <c r="A42" s="77" t="s">
        <v>150</v>
      </c>
      <c r="B42" s="377" t="s">
        <v>738</v>
      </c>
      <c r="C42" s="514" t="s">
        <v>8</v>
      </c>
      <c r="D42" s="515">
        <f>+(1.5*5.2*3+0.15*1.2*9+1.2*6.06+1.5*6.06*2)*1.1</f>
        <v>55.519200000000005</v>
      </c>
      <c r="E42" s="401"/>
      <c r="F42" s="385"/>
    </row>
    <row r="43" spans="1:6" x14ac:dyDescent="0.3">
      <c r="A43" s="256" t="s">
        <v>692</v>
      </c>
      <c r="B43" s="261" t="s">
        <v>739</v>
      </c>
      <c r="C43" s="269"/>
      <c r="D43" s="270"/>
      <c r="E43" s="271"/>
      <c r="F43" s="296"/>
    </row>
    <row r="44" spans="1:6" ht="24.6" x14ac:dyDescent="0.3">
      <c r="A44" s="551" t="s">
        <v>693</v>
      </c>
      <c r="B44" s="273" t="s">
        <v>741</v>
      </c>
      <c r="C44" s="552" t="s">
        <v>54</v>
      </c>
      <c r="D44" s="553">
        <v>4</v>
      </c>
      <c r="E44" s="554"/>
      <c r="F44" s="296"/>
    </row>
    <row r="45" spans="1:6" ht="15" thickBot="1" x14ac:dyDescent="0.35">
      <c r="A45" s="272"/>
      <c r="B45" s="274"/>
      <c r="C45" s="275"/>
      <c r="D45" s="276"/>
      <c r="E45" s="271"/>
      <c r="F45" s="278"/>
    </row>
    <row r="46" spans="1:6" ht="15" thickBot="1" x14ac:dyDescent="0.35">
      <c r="A46" s="852" t="s">
        <v>695</v>
      </c>
      <c r="B46" s="853"/>
      <c r="C46" s="853"/>
      <c r="D46" s="853"/>
      <c r="E46" s="854"/>
      <c r="F46" s="251"/>
    </row>
    <row r="47" spans="1:6" x14ac:dyDescent="0.3">
      <c r="A47" s="279"/>
      <c r="B47" s="280"/>
      <c r="C47" s="281"/>
      <c r="D47" s="280"/>
      <c r="E47" s="668"/>
      <c r="F47" s="240"/>
    </row>
    <row r="48" spans="1:6" x14ac:dyDescent="0.3">
      <c r="A48" s="58" t="s">
        <v>176</v>
      </c>
      <c r="B48" s="526" t="s">
        <v>590</v>
      </c>
      <c r="C48" s="60"/>
      <c r="D48" s="394"/>
      <c r="E48" s="393"/>
      <c r="F48" s="476"/>
    </row>
    <row r="49" spans="1:6" x14ac:dyDescent="0.3">
      <c r="A49" s="256"/>
      <c r="B49" s="261"/>
      <c r="C49" s="282"/>
      <c r="D49" s="283"/>
      <c r="E49" s="669"/>
      <c r="F49" s="284"/>
    </row>
    <row r="50" spans="1:6" x14ac:dyDescent="0.3">
      <c r="A50" s="256" t="s">
        <v>53</v>
      </c>
      <c r="B50" s="261" t="s">
        <v>591</v>
      </c>
      <c r="C50" s="282"/>
      <c r="D50" s="283"/>
      <c r="E50" s="669"/>
      <c r="F50" s="284"/>
    </row>
    <row r="51" spans="1:6" x14ac:dyDescent="0.3">
      <c r="A51" s="262" t="s">
        <v>82</v>
      </c>
      <c r="B51" s="285" t="s">
        <v>614</v>
      </c>
      <c r="C51" s="257" t="s">
        <v>8</v>
      </c>
      <c r="D51" s="286">
        <f>6.06*4.04</f>
        <v>24.482399999999998</v>
      </c>
      <c r="E51" s="287"/>
      <c r="F51" s="296"/>
    </row>
    <row r="52" spans="1:6" x14ac:dyDescent="0.3">
      <c r="A52" s="262" t="s">
        <v>178</v>
      </c>
      <c r="B52" s="285" t="s">
        <v>491</v>
      </c>
      <c r="C52" s="257" t="s">
        <v>18</v>
      </c>
      <c r="D52" s="286">
        <v>4</v>
      </c>
      <c r="E52" s="265"/>
      <c r="F52" s="296"/>
    </row>
    <row r="53" spans="1:6" ht="15" thickBot="1" x14ac:dyDescent="0.35">
      <c r="A53" s="289"/>
      <c r="B53" s="290"/>
      <c r="C53" s="291"/>
      <c r="D53" s="290"/>
      <c r="E53" s="670"/>
      <c r="F53" s="292"/>
    </row>
    <row r="54" spans="1:6" ht="15" thickBot="1" x14ac:dyDescent="0.35">
      <c r="A54" s="852" t="s">
        <v>696</v>
      </c>
      <c r="B54" s="853"/>
      <c r="C54" s="853"/>
      <c r="D54" s="853"/>
      <c r="E54" s="854"/>
      <c r="F54" s="251"/>
    </row>
    <row r="55" spans="1:6" x14ac:dyDescent="0.3">
      <c r="A55" s="279"/>
      <c r="B55" s="280"/>
      <c r="C55" s="281"/>
      <c r="D55" s="280"/>
      <c r="E55" s="668"/>
      <c r="F55" s="240"/>
    </row>
    <row r="56" spans="1:6" x14ac:dyDescent="0.3">
      <c r="A56" s="58" t="s">
        <v>615</v>
      </c>
      <c r="B56" s="526" t="s">
        <v>616</v>
      </c>
      <c r="C56" s="60"/>
      <c r="D56" s="394"/>
      <c r="E56" s="393"/>
      <c r="F56" s="476"/>
    </row>
    <row r="57" spans="1:6" x14ac:dyDescent="0.3">
      <c r="A57" s="256"/>
      <c r="B57" s="261"/>
      <c r="C57" s="282"/>
      <c r="D57" s="283"/>
      <c r="E57" s="669"/>
      <c r="F57" s="284"/>
    </row>
    <row r="58" spans="1:6" x14ac:dyDescent="0.3">
      <c r="A58" s="256" t="s">
        <v>51</v>
      </c>
      <c r="B58" s="261" t="s">
        <v>618</v>
      </c>
      <c r="C58" s="282"/>
      <c r="D58" s="283"/>
      <c r="E58" s="669"/>
      <c r="F58" s="284"/>
    </row>
    <row r="59" spans="1:6" ht="24.6" x14ac:dyDescent="0.3">
      <c r="A59" s="303" t="s">
        <v>81</v>
      </c>
      <c r="B59" s="293" t="s">
        <v>619</v>
      </c>
      <c r="C59" s="305" t="s">
        <v>18</v>
      </c>
      <c r="D59" s="368">
        <v>2</v>
      </c>
      <c r="E59" s="307"/>
      <c r="F59" s="296"/>
    </row>
    <row r="60" spans="1:6" ht="24.6" x14ac:dyDescent="0.3">
      <c r="A60" s="262" t="s">
        <v>52</v>
      </c>
      <c r="B60" s="293" t="s">
        <v>620</v>
      </c>
      <c r="C60" s="257" t="s">
        <v>18</v>
      </c>
      <c r="D60" s="294">
        <v>1</v>
      </c>
      <c r="E60" s="287"/>
      <c r="F60" s="296"/>
    </row>
    <row r="61" spans="1:6" ht="24.6" x14ac:dyDescent="0.3">
      <c r="A61" s="262" t="s">
        <v>440</v>
      </c>
      <c r="B61" s="293" t="s">
        <v>621</v>
      </c>
      <c r="C61" s="257" t="s">
        <v>18</v>
      </c>
      <c r="D61" s="294">
        <v>2</v>
      </c>
      <c r="E61" s="287"/>
      <c r="F61" s="296"/>
    </row>
    <row r="62" spans="1:6" ht="15" thickBot="1" x14ac:dyDescent="0.35">
      <c r="A62" s="289"/>
      <c r="B62" s="290"/>
      <c r="C62" s="291"/>
      <c r="D62" s="290"/>
      <c r="E62" s="670"/>
      <c r="F62" s="297"/>
    </row>
    <row r="63" spans="1:6" ht="15" thickBot="1" x14ac:dyDescent="0.35">
      <c r="A63" s="884" t="s">
        <v>697</v>
      </c>
      <c r="B63" s="885"/>
      <c r="C63" s="885"/>
      <c r="D63" s="885"/>
      <c r="E63" s="886"/>
      <c r="F63" s="298"/>
    </row>
    <row r="64" spans="1:6" x14ac:dyDescent="0.3">
      <c r="A64" s="279"/>
      <c r="B64" s="280"/>
      <c r="C64" s="281"/>
      <c r="D64" s="299"/>
      <c r="E64" s="668"/>
      <c r="F64" s="240"/>
    </row>
    <row r="65" spans="1:6" x14ac:dyDescent="0.3">
      <c r="A65" s="58" t="s">
        <v>183</v>
      </c>
      <c r="B65" s="526" t="s">
        <v>617</v>
      </c>
      <c r="C65" s="60"/>
      <c r="D65" s="394"/>
      <c r="E65" s="393"/>
      <c r="F65" s="476"/>
    </row>
    <row r="66" spans="1:6" x14ac:dyDescent="0.3">
      <c r="A66" s="262"/>
      <c r="B66" s="261"/>
      <c r="C66" s="257"/>
      <c r="D66" s="264"/>
      <c r="E66" s="265"/>
      <c r="F66" s="260"/>
    </row>
    <row r="67" spans="1:6" x14ac:dyDescent="0.3">
      <c r="A67" s="256" t="s">
        <v>16</v>
      </c>
      <c r="B67" s="300" t="s">
        <v>622</v>
      </c>
      <c r="C67" s="257"/>
      <c r="D67" s="264"/>
      <c r="E67" s="265"/>
      <c r="F67" s="260"/>
    </row>
    <row r="68" spans="1:6" ht="60" x14ac:dyDescent="0.3">
      <c r="A68" s="262" t="s">
        <v>17</v>
      </c>
      <c r="B68" s="301" t="s">
        <v>441</v>
      </c>
      <c r="C68" s="257" t="s">
        <v>54</v>
      </c>
      <c r="D68" s="302">
        <v>1</v>
      </c>
      <c r="E68" s="287"/>
      <c r="F68" s="296"/>
    </row>
    <row r="69" spans="1:6" x14ac:dyDescent="0.3">
      <c r="A69" s="256" t="s">
        <v>79</v>
      </c>
      <c r="B69" s="261" t="s">
        <v>623</v>
      </c>
      <c r="C69" s="257"/>
      <c r="D69" s="264"/>
      <c r="E69" s="265"/>
      <c r="F69" s="296"/>
    </row>
    <row r="70" spans="1:6" ht="24.6" x14ac:dyDescent="0.3">
      <c r="A70" s="303" t="s">
        <v>80</v>
      </c>
      <c r="B70" s="304" t="s">
        <v>624</v>
      </c>
      <c r="C70" s="305" t="s">
        <v>18</v>
      </c>
      <c r="D70" s="306">
        <v>2</v>
      </c>
      <c r="E70" s="307"/>
      <c r="F70" s="296"/>
    </row>
    <row r="71" spans="1:6" s="613" customFormat="1" x14ac:dyDescent="0.3">
      <c r="A71" s="256" t="s">
        <v>694</v>
      </c>
      <c r="B71" s="686" t="s">
        <v>691</v>
      </c>
      <c r="C71" s="658"/>
      <c r="D71" s="659"/>
      <c r="E71" s="660"/>
      <c r="F71" s="296"/>
    </row>
    <row r="72" spans="1:6" ht="42.9" customHeight="1" x14ac:dyDescent="0.3">
      <c r="A72" s="303" t="s">
        <v>365</v>
      </c>
      <c r="B72" s="293" t="s">
        <v>625</v>
      </c>
      <c r="C72" s="275" t="s">
        <v>8</v>
      </c>
      <c r="D72" s="308">
        <f>2*2.59*10.06+6.06*4+4*2.39-(2*0.9*2.1+0.8*2.1+2*1.2*1.2)</f>
        <v>77.570799999999991</v>
      </c>
      <c r="E72" s="309"/>
      <c r="F72" s="296"/>
    </row>
    <row r="73" spans="1:6" ht="15" thickBot="1" x14ac:dyDescent="0.35">
      <c r="A73" s="272"/>
      <c r="B73" s="310"/>
      <c r="C73" s="275"/>
      <c r="D73" s="311"/>
      <c r="E73" s="271"/>
      <c r="F73" s="278"/>
    </row>
    <row r="74" spans="1:6" ht="15" thickBot="1" x14ac:dyDescent="0.35">
      <c r="A74" s="849" t="s">
        <v>443</v>
      </c>
      <c r="B74" s="850"/>
      <c r="C74" s="850"/>
      <c r="D74" s="850"/>
      <c r="E74" s="851"/>
      <c r="F74" s="251"/>
    </row>
    <row r="75" spans="1:6" x14ac:dyDescent="0.3">
      <c r="A75" s="312"/>
      <c r="B75" s="313"/>
      <c r="C75" s="313"/>
      <c r="D75" s="313"/>
      <c r="E75" s="671"/>
      <c r="F75" s="240"/>
    </row>
    <row r="76" spans="1:6" x14ac:dyDescent="0.3">
      <c r="A76" s="58" t="s">
        <v>226</v>
      </c>
      <c r="B76" s="526" t="s">
        <v>627</v>
      </c>
      <c r="C76" s="60"/>
      <c r="D76" s="394"/>
      <c r="E76" s="393"/>
      <c r="F76" s="476"/>
    </row>
    <row r="77" spans="1:6" x14ac:dyDescent="0.3">
      <c r="A77" s="228"/>
      <c r="B77" s="315"/>
      <c r="C77" s="282"/>
      <c r="D77" s="282"/>
      <c r="E77" s="669"/>
      <c r="F77" s="284"/>
    </row>
    <row r="78" spans="1:6" x14ac:dyDescent="0.3">
      <c r="A78" s="314" t="s">
        <v>44</v>
      </c>
      <c r="B78" s="315" t="s">
        <v>655</v>
      </c>
      <c r="C78" s="229"/>
      <c r="D78" s="229"/>
      <c r="E78" s="672"/>
      <c r="F78" s="546"/>
    </row>
    <row r="79" spans="1:6" x14ac:dyDescent="0.3">
      <c r="A79" s="316" t="s">
        <v>75</v>
      </c>
      <c r="B79" s="317" t="s">
        <v>626</v>
      </c>
      <c r="C79" s="257" t="s">
        <v>15</v>
      </c>
      <c r="D79" s="318">
        <f>4*4*1.1</f>
        <v>17.600000000000001</v>
      </c>
      <c r="E79" s="319"/>
      <c r="F79" s="248"/>
    </row>
    <row r="80" spans="1:6" ht="15" thickBot="1" x14ac:dyDescent="0.35">
      <c r="A80" s="320"/>
      <c r="B80" s="321"/>
      <c r="C80" s="291"/>
      <c r="D80" s="291"/>
      <c r="E80" s="670"/>
      <c r="F80" s="244"/>
    </row>
    <row r="81" spans="1:6" ht="15" thickBot="1" x14ac:dyDescent="0.35">
      <c r="A81" s="852" t="s">
        <v>444</v>
      </c>
      <c r="B81" s="853"/>
      <c r="C81" s="853"/>
      <c r="D81" s="853"/>
      <c r="E81" s="854"/>
      <c r="F81" s="251"/>
    </row>
    <row r="82" spans="1:6" x14ac:dyDescent="0.3">
      <c r="A82" s="322"/>
      <c r="B82" s="323"/>
      <c r="C82" s="313"/>
      <c r="D82" s="313"/>
      <c r="E82" s="671"/>
      <c r="F82" s="324"/>
    </row>
    <row r="83" spans="1:6" x14ac:dyDescent="0.3">
      <c r="A83" s="570" t="s">
        <v>249</v>
      </c>
      <c r="B83" s="571" t="s">
        <v>645</v>
      </c>
      <c r="C83" s="257"/>
      <c r="D83" s="258"/>
      <c r="E83" s="265"/>
      <c r="F83" s="325"/>
    </row>
    <row r="84" spans="1:6" x14ac:dyDescent="0.3">
      <c r="A84" s="256"/>
      <c r="B84" s="360"/>
      <c r="C84" s="257"/>
      <c r="D84" s="258"/>
      <c r="E84" s="265"/>
      <c r="F84" s="325"/>
    </row>
    <row r="85" spans="1:6" x14ac:dyDescent="0.3">
      <c r="A85" s="256" t="s">
        <v>26</v>
      </c>
      <c r="B85" s="261" t="s">
        <v>251</v>
      </c>
      <c r="C85" s="229"/>
      <c r="D85" s="229"/>
      <c r="E85" s="672"/>
      <c r="F85" s="546"/>
    </row>
    <row r="86" spans="1:6" ht="36.6" x14ac:dyDescent="0.3">
      <c r="A86" s="262" t="s">
        <v>42</v>
      </c>
      <c r="B86" s="293" t="s">
        <v>445</v>
      </c>
      <c r="C86" s="257" t="s">
        <v>15</v>
      </c>
      <c r="D86" s="302">
        <f>27.35+23.9</f>
        <v>51.25</v>
      </c>
      <c r="E86" s="287"/>
      <c r="F86" s="296"/>
    </row>
    <row r="87" spans="1:6" ht="24.6" x14ac:dyDescent="0.3">
      <c r="A87" s="262" t="s">
        <v>266</v>
      </c>
      <c r="B87" s="293" t="s">
        <v>446</v>
      </c>
      <c r="C87" s="305" t="s">
        <v>18</v>
      </c>
      <c r="D87" s="306">
        <v>1</v>
      </c>
      <c r="E87" s="307"/>
      <c r="F87" s="296"/>
    </row>
    <row r="88" spans="1:6" x14ac:dyDescent="0.3">
      <c r="A88" s="256" t="s">
        <v>27</v>
      </c>
      <c r="B88" s="261" t="s">
        <v>263</v>
      </c>
      <c r="C88" s="257"/>
      <c r="D88" s="326"/>
      <c r="E88" s="265"/>
      <c r="F88" s="296"/>
    </row>
    <row r="89" spans="1:6" ht="24" x14ac:dyDescent="0.3">
      <c r="A89" s="262"/>
      <c r="B89" s="327" t="s">
        <v>447</v>
      </c>
      <c r="C89" s="257"/>
      <c r="D89" s="302"/>
      <c r="E89" s="287"/>
      <c r="F89" s="296"/>
    </row>
    <row r="90" spans="1:6" ht="24.6" x14ac:dyDescent="0.3">
      <c r="A90" s="262" t="s">
        <v>71</v>
      </c>
      <c r="B90" s="293" t="s">
        <v>448</v>
      </c>
      <c r="C90" s="305" t="s">
        <v>18</v>
      </c>
      <c r="D90" s="306">
        <v>2</v>
      </c>
      <c r="E90" s="307"/>
      <c r="F90" s="296"/>
    </row>
    <row r="91" spans="1:6" x14ac:dyDescent="0.3">
      <c r="A91" s="262" t="s">
        <v>72</v>
      </c>
      <c r="B91" s="293" t="s">
        <v>449</v>
      </c>
      <c r="C91" s="257" t="s">
        <v>54</v>
      </c>
      <c r="D91" s="302">
        <v>2</v>
      </c>
      <c r="E91" s="287"/>
      <c r="F91" s="296"/>
    </row>
    <row r="92" spans="1:6" x14ac:dyDescent="0.3">
      <c r="A92" s="262" t="s">
        <v>73</v>
      </c>
      <c r="B92" s="285" t="s">
        <v>450</v>
      </c>
      <c r="C92" s="257" t="s">
        <v>54</v>
      </c>
      <c r="D92" s="302">
        <v>4</v>
      </c>
      <c r="E92" s="287"/>
      <c r="F92" s="296"/>
    </row>
    <row r="93" spans="1:6" x14ac:dyDescent="0.3">
      <c r="A93" s="262" t="s">
        <v>74</v>
      </c>
      <c r="B93" s="285" t="s">
        <v>451</v>
      </c>
      <c r="C93" s="305" t="s">
        <v>54</v>
      </c>
      <c r="D93" s="306">
        <v>1</v>
      </c>
      <c r="E93" s="307"/>
      <c r="F93" s="296"/>
    </row>
    <row r="94" spans="1:6" x14ac:dyDescent="0.3">
      <c r="A94" s="256" t="s">
        <v>28</v>
      </c>
      <c r="B94" s="261" t="s">
        <v>646</v>
      </c>
      <c r="C94" s="229"/>
      <c r="D94" s="229"/>
      <c r="E94" s="672"/>
      <c r="F94" s="296"/>
    </row>
    <row r="95" spans="1:6" ht="24.6" x14ac:dyDescent="0.3">
      <c r="A95" s="303" t="s">
        <v>87</v>
      </c>
      <c r="B95" s="293" t="s">
        <v>452</v>
      </c>
      <c r="C95" s="257" t="s">
        <v>6</v>
      </c>
      <c r="D95" s="264"/>
      <c r="E95" s="265"/>
      <c r="F95" s="296"/>
    </row>
    <row r="96" spans="1:6" x14ac:dyDescent="0.3">
      <c r="A96" s="256" t="s">
        <v>29</v>
      </c>
      <c r="B96" s="261" t="s">
        <v>647</v>
      </c>
      <c r="C96" s="257"/>
      <c r="D96" s="264"/>
      <c r="E96" s="265"/>
      <c r="F96" s="296"/>
    </row>
    <row r="97" spans="1:6" x14ac:dyDescent="0.3">
      <c r="A97" s="262"/>
      <c r="B97" s="328" t="s">
        <v>453</v>
      </c>
      <c r="C97" s="229"/>
      <c r="D97" s="229"/>
      <c r="E97" s="672"/>
      <c r="F97" s="296"/>
    </row>
    <row r="98" spans="1:6" x14ac:dyDescent="0.3">
      <c r="A98" s="262" t="s">
        <v>91</v>
      </c>
      <c r="B98" s="329" t="s">
        <v>649</v>
      </c>
      <c r="C98" s="257" t="s">
        <v>18</v>
      </c>
      <c r="D98" s="302">
        <v>4</v>
      </c>
      <c r="E98" s="265"/>
      <c r="F98" s="296"/>
    </row>
    <row r="99" spans="1:6" x14ac:dyDescent="0.3">
      <c r="A99" s="262" t="s">
        <v>92</v>
      </c>
      <c r="B99" s="329" t="s">
        <v>628</v>
      </c>
      <c r="C99" s="257" t="s">
        <v>18</v>
      </c>
      <c r="D99" s="302">
        <v>6</v>
      </c>
      <c r="E99" s="265"/>
      <c r="F99" s="296"/>
    </row>
    <row r="100" spans="1:6" x14ac:dyDescent="0.3">
      <c r="A100" s="256" t="s">
        <v>454</v>
      </c>
      <c r="B100" s="261" t="s">
        <v>268</v>
      </c>
      <c r="C100" s="257"/>
      <c r="D100" s="302"/>
      <c r="E100" s="265"/>
      <c r="F100" s="296"/>
    </row>
    <row r="101" spans="1:6" x14ac:dyDescent="0.3">
      <c r="A101" s="262" t="s">
        <v>455</v>
      </c>
      <c r="B101" s="330" t="s">
        <v>648</v>
      </c>
      <c r="C101" s="257" t="s">
        <v>18</v>
      </c>
      <c r="D101" s="302">
        <v>4</v>
      </c>
      <c r="E101" s="265"/>
      <c r="F101" s="296"/>
    </row>
    <row r="102" spans="1:6" x14ac:dyDescent="0.3">
      <c r="A102" s="262" t="s">
        <v>456</v>
      </c>
      <c r="B102" s="330" t="s">
        <v>457</v>
      </c>
      <c r="C102" s="257" t="s">
        <v>18</v>
      </c>
      <c r="D102" s="302">
        <v>2</v>
      </c>
      <c r="E102" s="265"/>
      <c r="F102" s="296"/>
    </row>
    <row r="103" spans="1:6" x14ac:dyDescent="0.3">
      <c r="A103" s="262" t="s">
        <v>458</v>
      </c>
      <c r="B103" s="330" t="s">
        <v>629</v>
      </c>
      <c r="C103" s="257" t="s">
        <v>18</v>
      </c>
      <c r="D103" s="302">
        <v>2</v>
      </c>
      <c r="E103" s="265"/>
      <c r="F103" s="296"/>
    </row>
    <row r="104" spans="1:6" x14ac:dyDescent="0.3">
      <c r="A104" s="262" t="s">
        <v>459</v>
      </c>
      <c r="B104" s="285" t="s">
        <v>460</v>
      </c>
      <c r="C104" s="257" t="s">
        <v>18</v>
      </c>
      <c r="D104" s="264">
        <v>6</v>
      </c>
      <c r="E104" s="265"/>
      <c r="F104" s="296"/>
    </row>
    <row r="105" spans="1:6" ht="15" thickBot="1" x14ac:dyDescent="0.35">
      <c r="A105" s="272"/>
      <c r="B105" s="360"/>
      <c r="C105" s="331"/>
      <c r="D105" s="331"/>
      <c r="E105" s="673"/>
      <c r="F105" s="547"/>
    </row>
    <row r="106" spans="1:6" ht="15" thickBot="1" x14ac:dyDescent="0.35">
      <c r="A106" s="849" t="s">
        <v>30</v>
      </c>
      <c r="B106" s="850"/>
      <c r="C106" s="850"/>
      <c r="D106" s="850"/>
      <c r="E106" s="851"/>
      <c r="F106" s="298"/>
    </row>
    <row r="107" spans="1:6" x14ac:dyDescent="0.3">
      <c r="A107" s="314"/>
      <c r="B107" s="281"/>
      <c r="C107" s="283"/>
      <c r="D107" s="282"/>
      <c r="E107" s="674"/>
      <c r="F107" s="284"/>
    </row>
    <row r="108" spans="1:6" x14ac:dyDescent="0.3">
      <c r="A108" s="58" t="s">
        <v>292</v>
      </c>
      <c r="B108" s="99" t="s">
        <v>293</v>
      </c>
      <c r="C108" s="4"/>
      <c r="D108" s="24"/>
      <c r="E108" s="675"/>
      <c r="F108" s="98"/>
    </row>
    <row r="109" spans="1:6" x14ac:dyDescent="0.3">
      <c r="A109" s="65"/>
      <c r="B109" s="113"/>
      <c r="C109" s="60"/>
      <c r="D109" s="218"/>
      <c r="E109" s="393"/>
      <c r="F109" s="119"/>
    </row>
    <row r="110" spans="1:6" x14ac:dyDescent="0.3">
      <c r="A110" s="64" t="s">
        <v>294</v>
      </c>
      <c r="B110" s="111" t="s">
        <v>295</v>
      </c>
      <c r="C110" s="60"/>
      <c r="D110" s="131"/>
      <c r="E110" s="393"/>
      <c r="F110" s="119"/>
    </row>
    <row r="111" spans="1:6" x14ac:dyDescent="0.3">
      <c r="A111" s="64" t="s">
        <v>296</v>
      </c>
      <c r="B111" s="127" t="s">
        <v>297</v>
      </c>
      <c r="C111" s="60"/>
      <c r="D111" s="218"/>
      <c r="E111" s="393"/>
      <c r="F111" s="119"/>
    </row>
    <row r="112" spans="1:6" x14ac:dyDescent="0.3">
      <c r="A112" s="65" t="s">
        <v>298</v>
      </c>
      <c r="B112" s="113" t="s">
        <v>301</v>
      </c>
      <c r="C112" s="60" t="s">
        <v>18</v>
      </c>
      <c r="D112" s="131">
        <v>1</v>
      </c>
      <c r="E112" s="393"/>
      <c r="F112" s="591"/>
    </row>
    <row r="113" spans="1:6" x14ac:dyDescent="0.3">
      <c r="A113" s="65" t="s">
        <v>299</v>
      </c>
      <c r="B113" s="113" t="s">
        <v>302</v>
      </c>
      <c r="C113" s="60" t="s">
        <v>18</v>
      </c>
      <c r="D113" s="131">
        <v>1</v>
      </c>
      <c r="E113" s="393"/>
      <c r="F113" s="591"/>
    </row>
    <row r="114" spans="1:6" x14ac:dyDescent="0.3">
      <c r="A114" s="64" t="s">
        <v>305</v>
      </c>
      <c r="B114" s="127" t="s">
        <v>300</v>
      </c>
      <c r="C114" s="60"/>
      <c r="D114" s="131"/>
      <c r="E114" s="393"/>
      <c r="F114" s="591"/>
    </row>
    <row r="115" spans="1:6" x14ac:dyDescent="0.3">
      <c r="A115" s="65" t="s">
        <v>306</v>
      </c>
      <c r="B115" s="113" t="s">
        <v>303</v>
      </c>
      <c r="C115" s="60" t="s">
        <v>18</v>
      </c>
      <c r="D115" s="131">
        <v>1</v>
      </c>
      <c r="E115" s="393"/>
      <c r="F115" s="591"/>
    </row>
    <row r="116" spans="1:6" x14ac:dyDescent="0.3">
      <c r="A116" s="65" t="s">
        <v>307</v>
      </c>
      <c r="B116" s="113" t="s">
        <v>304</v>
      </c>
      <c r="C116" s="60" t="s">
        <v>18</v>
      </c>
      <c r="D116" s="131">
        <v>1</v>
      </c>
      <c r="E116" s="393"/>
      <c r="F116" s="591"/>
    </row>
    <row r="117" spans="1:6" ht="15" thickBot="1" x14ac:dyDescent="0.35">
      <c r="A117" s="65"/>
      <c r="B117" s="113"/>
      <c r="C117" s="60"/>
      <c r="D117" s="218"/>
      <c r="E117" s="393"/>
      <c r="F117" s="119"/>
    </row>
    <row r="118" spans="1:6" ht="15" thickBot="1" x14ac:dyDescent="0.35">
      <c r="A118" s="767" t="s">
        <v>308</v>
      </c>
      <c r="B118" s="768"/>
      <c r="C118" s="768"/>
      <c r="D118" s="768"/>
      <c r="E118" s="768"/>
      <c r="F118" s="586"/>
    </row>
    <row r="119" spans="1:6" x14ac:dyDescent="0.3">
      <c r="A119" s="528"/>
      <c r="B119" s="141"/>
      <c r="C119" s="529"/>
      <c r="D119" s="141"/>
      <c r="E119" s="676"/>
      <c r="F119" s="530"/>
    </row>
    <row r="120" spans="1:6" x14ac:dyDescent="0.3">
      <c r="A120" s="58" t="s">
        <v>327</v>
      </c>
      <c r="B120" s="99" t="s">
        <v>328</v>
      </c>
      <c r="C120" s="4"/>
      <c r="D120" s="24"/>
      <c r="E120" s="677"/>
      <c r="F120" s="617"/>
    </row>
    <row r="121" spans="1:6" x14ac:dyDescent="0.3">
      <c r="A121" s="65"/>
      <c r="B121" s="113"/>
      <c r="C121" s="60"/>
      <c r="D121" s="218"/>
      <c r="E121" s="393"/>
      <c r="F121" s="119"/>
    </row>
    <row r="122" spans="1:6" x14ac:dyDescent="0.3">
      <c r="A122" s="64" t="s">
        <v>93</v>
      </c>
      <c r="B122" s="111" t="s">
        <v>329</v>
      </c>
      <c r="C122" s="60"/>
      <c r="D122" s="218"/>
      <c r="E122" s="393"/>
      <c r="F122" s="119"/>
    </row>
    <row r="123" spans="1:6" x14ac:dyDescent="0.3">
      <c r="A123" s="64" t="s">
        <v>94</v>
      </c>
      <c r="B123" s="127" t="s">
        <v>330</v>
      </c>
      <c r="C123" s="60"/>
      <c r="D123" s="218"/>
      <c r="E123" s="393"/>
      <c r="F123" s="119"/>
    </row>
    <row r="124" spans="1:6" x14ac:dyDescent="0.3">
      <c r="A124" s="65" t="s">
        <v>332</v>
      </c>
      <c r="B124" s="113" t="s">
        <v>331</v>
      </c>
      <c r="C124" s="60" t="s">
        <v>18</v>
      </c>
      <c r="D124" s="131">
        <v>2</v>
      </c>
      <c r="E124" s="393"/>
      <c r="F124" s="591"/>
    </row>
    <row r="125" spans="1:6" ht="15" thickBot="1" x14ac:dyDescent="0.35">
      <c r="A125" s="65"/>
      <c r="B125" s="113"/>
      <c r="C125" s="60"/>
      <c r="D125" s="218"/>
      <c r="E125" s="393"/>
      <c r="F125" s="119"/>
    </row>
    <row r="126" spans="1:6" ht="15" thickBot="1" x14ac:dyDescent="0.35">
      <c r="A126" s="767" t="s">
        <v>333</v>
      </c>
      <c r="B126" s="768"/>
      <c r="C126" s="768"/>
      <c r="D126" s="768"/>
      <c r="E126" s="768"/>
      <c r="F126" s="586"/>
    </row>
    <row r="127" spans="1:6" x14ac:dyDescent="0.3">
      <c r="A127" s="228"/>
      <c r="B127" s="333"/>
      <c r="C127" s="283"/>
      <c r="D127" s="282"/>
      <c r="E127" s="674"/>
      <c r="F127" s="284"/>
    </row>
    <row r="128" spans="1:6" x14ac:dyDescent="0.3">
      <c r="A128" s="58" t="s">
        <v>630</v>
      </c>
      <c r="B128" s="99" t="s">
        <v>631</v>
      </c>
      <c r="C128" s="4"/>
      <c r="D128" s="24"/>
      <c r="E128" s="675"/>
      <c r="F128" s="98"/>
    </row>
    <row r="129" spans="1:6" x14ac:dyDescent="0.3">
      <c r="A129" s="256"/>
      <c r="B129" s="328"/>
      <c r="C129" s="257"/>
      <c r="D129" s="337"/>
      <c r="E129" s="265"/>
      <c r="F129" s="548"/>
    </row>
    <row r="130" spans="1:6" x14ac:dyDescent="0.3">
      <c r="A130" s="256" t="s">
        <v>461</v>
      </c>
      <c r="B130" s="261" t="s">
        <v>462</v>
      </c>
      <c r="C130" s="229"/>
      <c r="D130" s="229"/>
      <c r="E130" s="672"/>
      <c r="F130" s="655"/>
    </row>
    <row r="131" spans="1:6" ht="24.6" x14ac:dyDescent="0.3">
      <c r="A131" s="303" t="s">
        <v>463</v>
      </c>
      <c r="B131" s="304" t="s">
        <v>464</v>
      </c>
      <c r="C131" s="305" t="s">
        <v>8</v>
      </c>
      <c r="D131" s="306">
        <v>22.52</v>
      </c>
      <c r="E131" s="307"/>
      <c r="F131" s="296"/>
    </row>
    <row r="132" spans="1:6" ht="15" thickBot="1" x14ac:dyDescent="0.35">
      <c r="A132" s="320"/>
      <c r="B132" s="338"/>
      <c r="C132" s="339"/>
      <c r="D132" s="340"/>
      <c r="E132" s="341"/>
      <c r="F132" s="342"/>
    </row>
    <row r="133" spans="1:6" ht="15" thickBot="1" x14ac:dyDescent="0.35">
      <c r="A133" s="855" t="s">
        <v>465</v>
      </c>
      <c r="B133" s="856"/>
      <c r="C133" s="856"/>
      <c r="D133" s="856"/>
      <c r="E133" s="856"/>
      <c r="F133" s="343"/>
    </row>
    <row r="134" spans="1:6" x14ac:dyDescent="0.3">
      <c r="A134" s="228"/>
      <c r="B134" s="281"/>
      <c r="C134" s="257"/>
      <c r="D134" s="258"/>
      <c r="E134" s="265"/>
      <c r="F134" s="260"/>
    </row>
    <row r="135" spans="1:6" x14ac:dyDescent="0.3">
      <c r="A135" s="561" t="s">
        <v>372</v>
      </c>
      <c r="B135" s="562" t="s">
        <v>640</v>
      </c>
      <c r="C135" s="257"/>
      <c r="D135" s="337"/>
      <c r="E135" s="265"/>
      <c r="F135" s="260"/>
    </row>
    <row r="136" spans="1:6" x14ac:dyDescent="0.3">
      <c r="A136" s="314"/>
      <c r="B136" s="315"/>
      <c r="C136" s="350"/>
      <c r="D136" s="351"/>
      <c r="E136" s="265"/>
      <c r="F136" s="260"/>
    </row>
    <row r="137" spans="1:6" x14ac:dyDescent="0.3">
      <c r="A137" s="314" t="s">
        <v>35</v>
      </c>
      <c r="B137" s="315" t="s">
        <v>466</v>
      </c>
      <c r="C137" s="229"/>
      <c r="D137" s="229"/>
      <c r="E137" s="265"/>
      <c r="F137" s="260"/>
    </row>
    <row r="138" spans="1:6" ht="24.6" x14ac:dyDescent="0.3">
      <c r="A138" s="354" t="s">
        <v>56</v>
      </c>
      <c r="B138" s="353" t="s">
        <v>644</v>
      </c>
      <c r="C138" s="559" t="s">
        <v>8</v>
      </c>
      <c r="D138" s="569">
        <f>2*1.2*1.2*2+2*1*2.2 +D161</f>
        <v>26.653400000000001</v>
      </c>
      <c r="E138" s="307"/>
      <c r="F138" s="296"/>
    </row>
    <row r="139" spans="1:6" ht="24.6" x14ac:dyDescent="0.3">
      <c r="A139" s="354" t="s">
        <v>57</v>
      </c>
      <c r="B139" s="353" t="s">
        <v>467</v>
      </c>
      <c r="C139" s="305" t="s">
        <v>8</v>
      </c>
      <c r="D139" s="306">
        <f>+D72*2+D138</f>
        <v>181.79499999999999</v>
      </c>
      <c r="E139" s="307"/>
      <c r="F139" s="296"/>
    </row>
    <row r="140" spans="1:6" ht="36.6" x14ac:dyDescent="0.3">
      <c r="A140" s="354" t="s">
        <v>58</v>
      </c>
      <c r="B140" s="353" t="s">
        <v>643</v>
      </c>
      <c r="C140" s="305" t="s">
        <v>8</v>
      </c>
      <c r="D140" s="306">
        <f>24.24*4</f>
        <v>96.96</v>
      </c>
      <c r="E140" s="307"/>
      <c r="F140" s="296"/>
    </row>
    <row r="141" spans="1:6" x14ac:dyDescent="0.3">
      <c r="A141" s="316" t="s">
        <v>468</v>
      </c>
      <c r="B141" s="353" t="s">
        <v>469</v>
      </c>
      <c r="C141" s="305" t="s">
        <v>8</v>
      </c>
      <c r="D141" s="306">
        <f>2*0.9*2.1*2-(2*0.8*1.85*2)+2*0.8*2.1-(2*0.7*1.85)*1.1</f>
        <v>2.1509999999999998</v>
      </c>
      <c r="E141" s="307"/>
      <c r="F141" s="296"/>
    </row>
    <row r="142" spans="1:6" x14ac:dyDescent="0.3">
      <c r="A142" s="314" t="s">
        <v>36</v>
      </c>
      <c r="B142" s="315" t="s">
        <v>171</v>
      </c>
      <c r="C142" s="257"/>
      <c r="D142" s="264"/>
      <c r="E142" s="287"/>
      <c r="F142" s="296"/>
    </row>
    <row r="143" spans="1:6" x14ac:dyDescent="0.3">
      <c r="A143" s="354" t="s">
        <v>59</v>
      </c>
      <c r="B143" s="353" t="s">
        <v>470</v>
      </c>
      <c r="C143" s="305" t="s">
        <v>54</v>
      </c>
      <c r="D143" s="306">
        <v>1</v>
      </c>
      <c r="E143" s="307"/>
      <c r="F143" s="296"/>
    </row>
    <row r="144" spans="1:6" ht="15" thickBot="1" x14ac:dyDescent="0.35">
      <c r="A144" s="335"/>
      <c r="B144" s="331"/>
      <c r="C144" s="331"/>
      <c r="D144" s="331"/>
      <c r="E144" s="678"/>
      <c r="F144" s="278"/>
    </row>
    <row r="145" spans="1:6" ht="15" thickBot="1" x14ac:dyDescent="0.35">
      <c r="A145" s="849" t="s">
        <v>47</v>
      </c>
      <c r="B145" s="850"/>
      <c r="C145" s="850"/>
      <c r="D145" s="850"/>
      <c r="E145" s="851"/>
      <c r="F145" s="251"/>
    </row>
    <row r="146" spans="1:6" x14ac:dyDescent="0.3">
      <c r="A146" s="556"/>
      <c r="B146" s="564"/>
      <c r="C146" s="564"/>
      <c r="D146" s="564"/>
      <c r="E146" s="679"/>
      <c r="F146" s="568"/>
    </row>
    <row r="147" spans="1:6" x14ac:dyDescent="0.3">
      <c r="A147" s="563" t="s">
        <v>396</v>
      </c>
      <c r="B147" s="99" t="s">
        <v>635</v>
      </c>
      <c r="C147" s="4"/>
      <c r="D147" s="24"/>
      <c r="E147" s="677"/>
      <c r="F147" s="617"/>
    </row>
    <row r="148" spans="1:6" x14ac:dyDescent="0.3">
      <c r="A148" s="314"/>
      <c r="B148" s="315"/>
      <c r="C148" s="257"/>
      <c r="D148" s="337"/>
      <c r="E148" s="265"/>
      <c r="F148" s="344"/>
    </row>
    <row r="149" spans="1:6" x14ac:dyDescent="0.3">
      <c r="A149" s="314" t="s">
        <v>400</v>
      </c>
      <c r="B149" s="315" t="s">
        <v>634</v>
      </c>
      <c r="C149" s="229"/>
      <c r="D149" s="352"/>
      <c r="E149" s="287"/>
      <c r="F149" s="344"/>
    </row>
    <row r="150" spans="1:6" ht="36.6" x14ac:dyDescent="0.3">
      <c r="A150" s="354" t="s">
        <v>401</v>
      </c>
      <c r="B150" s="353" t="s">
        <v>632</v>
      </c>
      <c r="C150" s="305" t="s">
        <v>8</v>
      </c>
      <c r="D150" s="565">
        <v>24.24</v>
      </c>
      <c r="E150" s="307"/>
      <c r="F150" s="296"/>
    </row>
    <row r="151" spans="1:6" x14ac:dyDescent="0.3">
      <c r="A151" s="314" t="s">
        <v>638</v>
      </c>
      <c r="B151" s="315" t="s">
        <v>636</v>
      </c>
      <c r="C151" s="229"/>
      <c r="D151" s="352"/>
      <c r="E151" s="287"/>
      <c r="F151" s="296"/>
    </row>
    <row r="152" spans="1:6" ht="36.6" x14ac:dyDescent="0.3">
      <c r="A152" s="557" t="s">
        <v>642</v>
      </c>
      <c r="B152" s="336" t="s">
        <v>637</v>
      </c>
      <c r="C152" s="558" t="s">
        <v>54</v>
      </c>
      <c r="D152" s="624">
        <v>1</v>
      </c>
      <c r="E152" s="660"/>
      <c r="F152" s="296"/>
    </row>
    <row r="153" spans="1:6" ht="24.6" x14ac:dyDescent="0.3">
      <c r="A153" s="557" t="s">
        <v>639</v>
      </c>
      <c r="B153" s="336" t="s">
        <v>641</v>
      </c>
      <c r="C153" s="558" t="s">
        <v>18</v>
      </c>
      <c r="D153" s="566">
        <v>3</v>
      </c>
      <c r="E153" s="660"/>
      <c r="F153" s="296"/>
    </row>
    <row r="154" spans="1:6" ht="15" thickBot="1" x14ac:dyDescent="0.35">
      <c r="A154" s="335"/>
      <c r="B154" s="346"/>
      <c r="C154" s="347"/>
      <c r="D154" s="348"/>
      <c r="E154" s="680"/>
      <c r="F154" s="278"/>
    </row>
    <row r="155" spans="1:6" ht="15" thickBot="1" x14ac:dyDescent="0.35">
      <c r="A155" s="849" t="s">
        <v>633</v>
      </c>
      <c r="B155" s="850"/>
      <c r="C155" s="850"/>
      <c r="D155" s="850"/>
      <c r="E155" s="851"/>
      <c r="F155" s="251"/>
    </row>
    <row r="156" spans="1:6" x14ac:dyDescent="0.3">
      <c r="A156" s="556"/>
      <c r="B156" s="313"/>
      <c r="C156" s="313"/>
      <c r="D156" s="313"/>
      <c r="E156" s="681"/>
      <c r="F156" s="568"/>
    </row>
    <row r="157" spans="1:6" x14ac:dyDescent="0.3">
      <c r="A157" s="58" t="s">
        <v>405</v>
      </c>
      <c r="B157" s="99" t="s">
        <v>408</v>
      </c>
      <c r="C157" s="4"/>
      <c r="D157" s="24"/>
      <c r="E157" s="677"/>
      <c r="F157" s="617"/>
    </row>
    <row r="158" spans="1:6" x14ac:dyDescent="0.3">
      <c r="A158" s="64"/>
      <c r="B158" s="111"/>
      <c r="C158" s="60"/>
      <c r="D158" s="218"/>
      <c r="E158" s="393"/>
      <c r="F158" s="119"/>
    </row>
    <row r="159" spans="1:6" x14ac:dyDescent="0.3">
      <c r="A159" s="64" t="s">
        <v>46</v>
      </c>
      <c r="B159" s="111" t="s">
        <v>409</v>
      </c>
      <c r="C159" s="60" t="s">
        <v>6</v>
      </c>
      <c r="D159" s="131"/>
      <c r="E159" s="393"/>
      <c r="F159" s="119"/>
    </row>
    <row r="160" spans="1:6" x14ac:dyDescent="0.3">
      <c r="A160" s="64" t="s">
        <v>55</v>
      </c>
      <c r="B160" s="127" t="s">
        <v>538</v>
      </c>
      <c r="C160" s="60"/>
      <c r="D160" s="131"/>
      <c r="E160" s="393"/>
      <c r="F160" s="119"/>
    </row>
    <row r="161" spans="1:6" x14ac:dyDescent="0.3">
      <c r="A161" s="66" t="s">
        <v>406</v>
      </c>
      <c r="B161" s="69" t="s">
        <v>433</v>
      </c>
      <c r="C161" s="163" t="s">
        <v>131</v>
      </c>
      <c r="D161" s="70">
        <f>2.1*7.14*1.1</f>
        <v>16.493400000000001</v>
      </c>
      <c r="E161" s="383"/>
      <c r="F161" s="591"/>
    </row>
    <row r="162" spans="1:6" ht="15" thickBot="1" x14ac:dyDescent="0.35">
      <c r="A162" s="68"/>
      <c r="B162" s="132"/>
      <c r="C162" s="142"/>
      <c r="D162" s="221"/>
      <c r="E162" s="508"/>
      <c r="F162" s="143"/>
    </row>
    <row r="163" spans="1:6" ht="15" thickBot="1" x14ac:dyDescent="0.35">
      <c r="A163" s="767" t="s">
        <v>410</v>
      </c>
      <c r="B163" s="768"/>
      <c r="C163" s="768"/>
      <c r="D163" s="768"/>
      <c r="E163" s="768"/>
      <c r="F163" s="586"/>
    </row>
    <row r="164" spans="1:6" x14ac:dyDescent="0.3">
      <c r="A164" s="272"/>
      <c r="B164" s="355"/>
      <c r="C164" s="350"/>
      <c r="D164" s="356"/>
      <c r="E164" s="682"/>
      <c r="F164" s="358"/>
    </row>
    <row r="165" spans="1:6" s="656" customFormat="1" ht="24.9" customHeight="1" thickBot="1" x14ac:dyDescent="0.35">
      <c r="A165" s="857" t="s">
        <v>689</v>
      </c>
      <c r="B165" s="858"/>
      <c r="C165" s="858"/>
      <c r="D165" s="859"/>
      <c r="E165" s="860"/>
      <c r="F165" s="861"/>
    </row>
    <row r="166" spans="1:6" s="613" customFormat="1" ht="16.2" thickTop="1" x14ac:dyDescent="0.3">
      <c r="A166" s="653"/>
      <c r="B166" s="653"/>
      <c r="C166" s="653"/>
      <c r="D166" s="653"/>
      <c r="E166" s="654"/>
      <c r="F166" s="654"/>
    </row>
    <row r="167" spans="1:6" s="613" customFormat="1" ht="15.6" x14ac:dyDescent="0.3">
      <c r="A167" s="653"/>
      <c r="B167" s="653"/>
      <c r="C167" s="653"/>
      <c r="D167" s="653"/>
      <c r="E167" s="654"/>
      <c r="F167" s="654"/>
    </row>
    <row r="168" spans="1:6" s="613" customFormat="1" ht="15.6" x14ac:dyDescent="0.3">
      <c r="A168" s="653"/>
      <c r="B168" s="653"/>
      <c r="C168" s="653"/>
      <c r="D168" s="653"/>
      <c r="E168" s="654"/>
      <c r="F168" s="654"/>
    </row>
    <row r="169" spans="1:6" ht="15" thickBot="1" x14ac:dyDescent="0.35">
      <c r="A169" s="19"/>
      <c r="B169" s="19"/>
      <c r="C169" s="19"/>
      <c r="D169" s="19"/>
      <c r="E169" s="661"/>
      <c r="F169" s="19"/>
    </row>
    <row r="170" spans="1:6" ht="30" customHeight="1" x14ac:dyDescent="0.3">
      <c r="A170" s="862" t="s">
        <v>690</v>
      </c>
      <c r="B170" s="863"/>
      <c r="C170" s="863"/>
      <c r="D170" s="863"/>
      <c r="E170" s="863"/>
      <c r="F170" s="864"/>
    </row>
    <row r="171" spans="1:6" ht="15" thickBot="1" x14ac:dyDescent="0.35">
      <c r="A171" s="359"/>
      <c r="B171" s="360"/>
      <c r="C171" s="360"/>
      <c r="D171" s="360"/>
      <c r="E171" s="683"/>
      <c r="F171" s="361"/>
    </row>
    <row r="172" spans="1:6" ht="24.9" customHeight="1" thickTop="1" thickBot="1" x14ac:dyDescent="0.35">
      <c r="A172" s="362" t="s">
        <v>38</v>
      </c>
      <c r="B172" s="865" t="s">
        <v>39</v>
      </c>
      <c r="C172" s="865"/>
      <c r="D172" s="865"/>
      <c r="E172" s="865" t="s">
        <v>411</v>
      </c>
      <c r="F172" s="866"/>
    </row>
    <row r="173" spans="1:6" ht="16.2" thickTop="1" x14ac:dyDescent="0.3">
      <c r="A173" s="363"/>
      <c r="B173" s="867"/>
      <c r="C173" s="867"/>
      <c r="D173" s="867"/>
      <c r="E173" s="868"/>
      <c r="F173" s="869"/>
    </row>
    <row r="174" spans="1:6" x14ac:dyDescent="0.3">
      <c r="A174" s="364" t="s">
        <v>143</v>
      </c>
      <c r="B174" s="870" t="s">
        <v>95</v>
      </c>
      <c r="C174" s="870"/>
      <c r="D174" s="870"/>
      <c r="E174" s="871"/>
      <c r="F174" s="872"/>
    </row>
    <row r="175" spans="1:6" x14ac:dyDescent="0.3">
      <c r="A175" s="365" t="s">
        <v>144</v>
      </c>
      <c r="B175" s="873" t="s">
        <v>100</v>
      </c>
      <c r="C175" s="873"/>
      <c r="D175" s="873"/>
      <c r="E175" s="874"/>
      <c r="F175" s="875"/>
    </row>
    <row r="176" spans="1:6" x14ac:dyDescent="0.3">
      <c r="A176" s="366" t="s">
        <v>136</v>
      </c>
      <c r="B176" s="876" t="s">
        <v>103</v>
      </c>
      <c r="C176" s="876"/>
      <c r="D176" s="876"/>
      <c r="E176" s="871"/>
      <c r="F176" s="872"/>
    </row>
    <row r="177" spans="1:6" x14ac:dyDescent="0.3">
      <c r="A177" s="366" t="s">
        <v>176</v>
      </c>
      <c r="B177" s="876" t="s">
        <v>177</v>
      </c>
      <c r="C177" s="876"/>
      <c r="D177" s="876"/>
      <c r="E177" s="871"/>
      <c r="F177" s="872"/>
    </row>
    <row r="178" spans="1:6" s="479" customFormat="1" x14ac:dyDescent="0.3">
      <c r="A178" s="366" t="s">
        <v>615</v>
      </c>
      <c r="B178" s="876" t="s">
        <v>650</v>
      </c>
      <c r="C178" s="876"/>
      <c r="D178" s="876"/>
      <c r="E178" s="871"/>
      <c r="F178" s="872"/>
    </row>
    <row r="179" spans="1:6" x14ac:dyDescent="0.3">
      <c r="A179" s="366" t="s">
        <v>183</v>
      </c>
      <c r="B179" s="876" t="s">
        <v>184</v>
      </c>
      <c r="C179" s="876"/>
      <c r="D179" s="876"/>
      <c r="E179" s="871"/>
      <c r="F179" s="872"/>
    </row>
    <row r="180" spans="1:6" x14ac:dyDescent="0.3">
      <c r="A180" s="366" t="s">
        <v>226</v>
      </c>
      <c r="B180" s="876" t="s">
        <v>227</v>
      </c>
      <c r="C180" s="876"/>
      <c r="D180" s="876"/>
      <c r="E180" s="871"/>
      <c r="F180" s="872"/>
    </row>
    <row r="181" spans="1:6" x14ac:dyDescent="0.3">
      <c r="A181" s="366" t="s">
        <v>249</v>
      </c>
      <c r="B181" s="876" t="s">
        <v>250</v>
      </c>
      <c r="C181" s="876"/>
      <c r="D181" s="876"/>
      <c r="E181" s="871"/>
      <c r="F181" s="872"/>
    </row>
    <row r="182" spans="1:6" x14ac:dyDescent="0.3">
      <c r="A182" s="366" t="s">
        <v>292</v>
      </c>
      <c r="B182" s="876" t="s">
        <v>293</v>
      </c>
      <c r="C182" s="876"/>
      <c r="D182" s="876"/>
      <c r="E182" s="871"/>
      <c r="F182" s="872"/>
    </row>
    <row r="183" spans="1:6" x14ac:dyDescent="0.3">
      <c r="A183" s="366" t="s">
        <v>327</v>
      </c>
      <c r="B183" s="876" t="s">
        <v>328</v>
      </c>
      <c r="C183" s="876"/>
      <c r="D183" s="876"/>
      <c r="E183" s="871"/>
      <c r="F183" s="872"/>
    </row>
    <row r="184" spans="1:6" x14ac:dyDescent="0.3">
      <c r="A184" s="366" t="s">
        <v>630</v>
      </c>
      <c r="B184" s="876" t="s">
        <v>631</v>
      </c>
      <c r="C184" s="876"/>
      <c r="D184" s="876"/>
      <c r="E184" s="871"/>
      <c r="F184" s="872"/>
    </row>
    <row r="185" spans="1:6" x14ac:dyDescent="0.3">
      <c r="A185" s="366" t="s">
        <v>372</v>
      </c>
      <c r="B185" s="876" t="s">
        <v>373</v>
      </c>
      <c r="C185" s="876"/>
      <c r="D185" s="876"/>
      <c r="E185" s="871"/>
      <c r="F185" s="872"/>
    </row>
    <row r="186" spans="1:6" x14ac:dyDescent="0.3">
      <c r="A186" s="366" t="s">
        <v>396</v>
      </c>
      <c r="B186" s="876" t="s">
        <v>397</v>
      </c>
      <c r="C186" s="876"/>
      <c r="D186" s="876"/>
      <c r="E186" s="871"/>
      <c r="F186" s="872"/>
    </row>
    <row r="187" spans="1:6" x14ac:dyDescent="0.3">
      <c r="A187" s="366" t="s">
        <v>405</v>
      </c>
      <c r="B187" s="876" t="s">
        <v>408</v>
      </c>
      <c r="C187" s="876"/>
      <c r="D187" s="876"/>
      <c r="E187" s="871"/>
      <c r="F187" s="872"/>
    </row>
    <row r="188" spans="1:6" ht="16.2" thickBot="1" x14ac:dyDescent="0.35">
      <c r="A188" s="367"/>
      <c r="B188" s="877"/>
      <c r="C188" s="877"/>
      <c r="D188" s="877"/>
      <c r="E188" s="878"/>
      <c r="F188" s="879"/>
    </row>
    <row r="189" spans="1:6" ht="24.9" customHeight="1" thickTop="1" thickBot="1" x14ac:dyDescent="0.35">
      <c r="A189" s="880" t="s">
        <v>689</v>
      </c>
      <c r="B189" s="881"/>
      <c r="C189" s="881"/>
      <c r="D189" s="881"/>
      <c r="E189" s="882"/>
      <c r="F189" s="883"/>
    </row>
    <row r="190" spans="1:6" ht="15" thickTop="1" x14ac:dyDescent="0.3"/>
  </sheetData>
  <mergeCells count="55">
    <mergeCell ref="A133:E133"/>
    <mergeCell ref="A145:E145"/>
    <mergeCell ref="A155:E155"/>
    <mergeCell ref="A2:F2"/>
    <mergeCell ref="A3:F3"/>
    <mergeCell ref="A63:E63"/>
    <mergeCell ref="A13:E13"/>
    <mergeCell ref="A26:E26"/>
    <mergeCell ref="A46:E46"/>
    <mergeCell ref="A54:E54"/>
    <mergeCell ref="A74:E74"/>
    <mergeCell ref="A81:E81"/>
    <mergeCell ref="A106:E106"/>
    <mergeCell ref="A118:E118"/>
    <mergeCell ref="A126:E126"/>
    <mergeCell ref="A163:E163"/>
    <mergeCell ref="A165:D165"/>
    <mergeCell ref="E165:F165"/>
    <mergeCell ref="A170:F170"/>
    <mergeCell ref="B172:D172"/>
    <mergeCell ref="E172:F172"/>
    <mergeCell ref="B173:D173"/>
    <mergeCell ref="E173:F173"/>
    <mergeCell ref="B174:D174"/>
    <mergeCell ref="E174:F174"/>
    <mergeCell ref="B175:D175"/>
    <mergeCell ref="E175:F175"/>
    <mergeCell ref="B176:D176"/>
    <mergeCell ref="E176:F176"/>
    <mergeCell ref="B177:D177"/>
    <mergeCell ref="E177:F177"/>
    <mergeCell ref="B179:D179"/>
    <mergeCell ref="E179:F179"/>
    <mergeCell ref="B178:D178"/>
    <mergeCell ref="E178:F178"/>
    <mergeCell ref="B180:D180"/>
    <mergeCell ref="E180:F180"/>
    <mergeCell ref="B181:D181"/>
    <mergeCell ref="E181:F181"/>
    <mergeCell ref="B182:D182"/>
    <mergeCell ref="E182:F182"/>
    <mergeCell ref="B183:D183"/>
    <mergeCell ref="E183:F183"/>
    <mergeCell ref="B184:D184"/>
    <mergeCell ref="E184:F184"/>
    <mergeCell ref="B185:D185"/>
    <mergeCell ref="E185:F185"/>
    <mergeCell ref="A189:D189"/>
    <mergeCell ref="E189:F189"/>
    <mergeCell ref="B186:D186"/>
    <mergeCell ref="E186:F186"/>
    <mergeCell ref="B187:D187"/>
    <mergeCell ref="E187:F187"/>
    <mergeCell ref="E188:F188"/>
    <mergeCell ref="B188:D188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28"/>
  <sheetViews>
    <sheetView topLeftCell="A319" zoomScaleNormal="100" zoomScaleSheetLayoutView="100" workbookViewId="0">
      <selection activeCell="E327" sqref="E327:F327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766" t="s">
        <v>550</v>
      </c>
      <c r="B2" s="766"/>
      <c r="C2" s="766"/>
      <c r="D2" s="766"/>
      <c r="E2" s="766"/>
      <c r="F2" s="766"/>
    </row>
    <row r="3" spans="1:6" ht="15.6" x14ac:dyDescent="0.3">
      <c r="A3" s="766" t="s">
        <v>493</v>
      </c>
      <c r="B3" s="766"/>
      <c r="C3" s="766"/>
      <c r="D3" s="766"/>
      <c r="E3" s="766"/>
      <c r="F3" s="766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ht="15" customHeight="1" x14ac:dyDescent="0.3">
      <c r="A9" s="42" t="s">
        <v>96</v>
      </c>
      <c r="B9" s="91" t="s">
        <v>88</v>
      </c>
      <c r="C9" s="50"/>
      <c r="D9" s="92"/>
      <c r="E9" s="51"/>
      <c r="F9" s="93"/>
    </row>
    <row r="10" spans="1:6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584"/>
      <c r="F10" s="585"/>
    </row>
    <row r="11" spans="1:6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584"/>
      <c r="F11" s="585"/>
    </row>
    <row r="12" spans="1:6" ht="15" customHeight="1" thickBot="1" x14ac:dyDescent="0.35">
      <c r="A12" s="42"/>
      <c r="B12" s="95"/>
      <c r="C12" s="50"/>
      <c r="D12" s="92"/>
      <c r="E12" s="587"/>
      <c r="F12" s="585"/>
    </row>
    <row r="13" spans="1:6" ht="15" customHeight="1" thickBot="1" x14ac:dyDescent="0.35">
      <c r="A13" s="821" t="s">
        <v>189</v>
      </c>
      <c r="B13" s="822"/>
      <c r="C13" s="822"/>
      <c r="D13" s="822"/>
      <c r="E13" s="823"/>
      <c r="F13" s="586"/>
    </row>
    <row r="14" spans="1:6" ht="15" customHeight="1" x14ac:dyDescent="0.3">
      <c r="A14" s="42"/>
      <c r="B14" s="95"/>
      <c r="C14" s="50"/>
      <c r="D14" s="92"/>
      <c r="E14" s="51"/>
      <c r="F14" s="93"/>
    </row>
    <row r="15" spans="1:6" ht="15" customHeight="1" x14ac:dyDescent="0.3">
      <c r="A15" s="57" t="s">
        <v>144</v>
      </c>
      <c r="B15" s="96" t="s">
        <v>100</v>
      </c>
      <c r="C15" s="50"/>
      <c r="D15" s="164"/>
      <c r="E15" s="51"/>
      <c r="F15" s="93"/>
    </row>
    <row r="16" spans="1:6" s="730" customFormat="1" ht="15" customHeight="1" x14ac:dyDescent="0.3">
      <c r="A16" s="42"/>
      <c r="B16" s="729"/>
      <c r="C16" s="50"/>
      <c r="D16" s="164"/>
      <c r="E16" s="51"/>
      <c r="F16" s="93"/>
    </row>
    <row r="17" spans="1:6" s="613" customFormat="1" ht="15" customHeight="1" x14ac:dyDescent="0.3">
      <c r="A17" s="42" t="s">
        <v>101</v>
      </c>
      <c r="B17" s="97" t="s">
        <v>540</v>
      </c>
      <c r="C17" s="50"/>
      <c r="D17" s="164"/>
      <c r="E17" s="51"/>
      <c r="F17" s="93"/>
    </row>
    <row r="18" spans="1:6" s="613" customFormat="1" ht="15" customHeight="1" x14ac:dyDescent="0.3">
      <c r="A18" s="481" t="s">
        <v>102</v>
      </c>
      <c r="B18" s="94" t="s">
        <v>544</v>
      </c>
      <c r="C18" s="161" t="s">
        <v>412</v>
      </c>
      <c r="D18" s="164">
        <f>15.74*11</f>
        <v>173.14000000000001</v>
      </c>
      <c r="E18" s="602"/>
      <c r="F18" s="603"/>
    </row>
    <row r="19" spans="1:6" s="613" customFormat="1" ht="15" customHeight="1" x14ac:dyDescent="0.3">
      <c r="A19" s="481" t="s">
        <v>543</v>
      </c>
      <c r="B19" s="94" t="s">
        <v>652</v>
      </c>
      <c r="C19" s="161" t="s">
        <v>412</v>
      </c>
      <c r="D19" s="164">
        <v>64.41</v>
      </c>
      <c r="E19" s="602"/>
      <c r="F19" s="603"/>
    </row>
    <row r="20" spans="1:6" ht="15" customHeight="1" x14ac:dyDescent="0.3">
      <c r="A20" s="44" t="s">
        <v>105</v>
      </c>
      <c r="B20" s="97" t="s">
        <v>110</v>
      </c>
      <c r="C20" s="162"/>
      <c r="D20" s="164"/>
      <c r="E20" s="51"/>
      <c r="F20" s="93"/>
    </row>
    <row r="21" spans="1:6" ht="15" customHeight="1" x14ac:dyDescent="0.3">
      <c r="A21" s="43" t="s">
        <v>109</v>
      </c>
      <c r="B21" s="94" t="s">
        <v>106</v>
      </c>
      <c r="C21" s="161" t="s">
        <v>413</v>
      </c>
      <c r="D21" s="164">
        <f>+(6*4+1.1*2+4.06+3.18*2+2.68*2+0.78+3.72+3.18)*0.8</f>
        <v>39.728000000000002</v>
      </c>
      <c r="E21" s="602"/>
      <c r="F21" s="585"/>
    </row>
    <row r="22" spans="1:6" ht="15" customHeight="1" x14ac:dyDescent="0.3">
      <c r="A22" s="44" t="s">
        <v>546</v>
      </c>
      <c r="B22" s="97" t="s">
        <v>111</v>
      </c>
      <c r="C22" s="162"/>
      <c r="D22" s="164"/>
      <c r="E22" s="602"/>
      <c r="F22" s="585"/>
    </row>
    <row r="23" spans="1:6" ht="15" customHeight="1" x14ac:dyDescent="0.3">
      <c r="A23" s="43" t="s">
        <v>547</v>
      </c>
      <c r="B23" s="94" t="s">
        <v>107</v>
      </c>
      <c r="C23" s="161" t="s">
        <v>413</v>
      </c>
      <c r="D23" s="164">
        <f>+D21-49.66*0.3</f>
        <v>24.830000000000005</v>
      </c>
      <c r="E23" s="602"/>
      <c r="F23" s="585"/>
    </row>
    <row r="24" spans="1:6" ht="15" customHeight="1" x14ac:dyDescent="0.3">
      <c r="A24" s="43" t="s">
        <v>548</v>
      </c>
      <c r="B24" s="94" t="s">
        <v>112</v>
      </c>
      <c r="C24" s="161" t="s">
        <v>413</v>
      </c>
      <c r="D24" s="164">
        <f>57.08*0.3</f>
        <v>17.123999999999999</v>
      </c>
      <c r="E24" s="602"/>
      <c r="F24" s="585"/>
    </row>
    <row r="25" spans="1:6" ht="15" customHeight="1" x14ac:dyDescent="0.3">
      <c r="A25" s="43" t="s">
        <v>549</v>
      </c>
      <c r="B25" s="94" t="s">
        <v>108</v>
      </c>
      <c r="C25" s="161" t="s">
        <v>412</v>
      </c>
      <c r="D25" s="164">
        <v>57.08</v>
      </c>
      <c r="E25" s="602"/>
      <c r="F25" s="585"/>
    </row>
    <row r="26" spans="1:6" ht="15" customHeight="1" thickBot="1" x14ac:dyDescent="0.35">
      <c r="A26" s="43"/>
      <c r="B26" s="94"/>
      <c r="C26" s="50"/>
      <c r="D26" s="164"/>
      <c r="E26" s="51"/>
      <c r="F26" s="93"/>
    </row>
    <row r="27" spans="1:6" ht="15" customHeight="1" thickBot="1" x14ac:dyDescent="0.35">
      <c r="A27" s="821" t="s">
        <v>190</v>
      </c>
      <c r="B27" s="822"/>
      <c r="C27" s="822"/>
      <c r="D27" s="822"/>
      <c r="E27" s="823"/>
      <c r="F27" s="586"/>
    </row>
    <row r="28" spans="1:6" ht="15" customHeight="1" x14ac:dyDescent="0.3">
      <c r="A28" s="42"/>
      <c r="B28" s="95"/>
      <c r="C28" s="50"/>
      <c r="D28" s="92"/>
      <c r="E28" s="51"/>
      <c r="F28" s="89"/>
    </row>
    <row r="29" spans="1:6" ht="15" customHeight="1" x14ac:dyDescent="0.3">
      <c r="A29" s="58" t="s">
        <v>136</v>
      </c>
      <c r="B29" s="99" t="s">
        <v>103</v>
      </c>
      <c r="C29" s="60"/>
      <c r="D29" s="131"/>
      <c r="E29" s="51"/>
      <c r="F29" s="89"/>
    </row>
    <row r="30" spans="1:6" ht="15" customHeight="1" x14ac:dyDescent="0.3">
      <c r="A30" s="54"/>
      <c r="B30" s="687"/>
      <c r="C30" s="60"/>
      <c r="D30" s="131"/>
      <c r="E30" s="51"/>
      <c r="F30" s="89"/>
    </row>
    <row r="31" spans="1:6" ht="15" customHeight="1" x14ac:dyDescent="0.3">
      <c r="A31" s="147" t="s">
        <v>4</v>
      </c>
      <c r="B31" s="175" t="s">
        <v>113</v>
      </c>
      <c r="C31" s="176"/>
      <c r="D31" s="177"/>
      <c r="E31" s="178"/>
      <c r="F31" s="101"/>
    </row>
    <row r="32" spans="1:6" ht="15" customHeight="1" x14ac:dyDescent="0.3">
      <c r="A32" s="147" t="s">
        <v>5</v>
      </c>
      <c r="B32" s="179" t="s">
        <v>114</v>
      </c>
      <c r="C32" s="163" t="s">
        <v>137</v>
      </c>
      <c r="D32" s="180">
        <f>49.66*0.05*0.6</f>
        <v>1.4898</v>
      </c>
      <c r="E32" s="181"/>
      <c r="F32" s="106"/>
    </row>
    <row r="33" spans="1:6" ht="15" customHeight="1" x14ac:dyDescent="0.3">
      <c r="A33" s="147" t="s">
        <v>9</v>
      </c>
      <c r="B33" s="179" t="s">
        <v>121</v>
      </c>
      <c r="C33" s="163"/>
      <c r="D33" s="182"/>
      <c r="E33" s="181"/>
      <c r="F33" s="106"/>
    </row>
    <row r="34" spans="1:6" ht="15" customHeight="1" x14ac:dyDescent="0.3">
      <c r="A34" s="148" t="s">
        <v>115</v>
      </c>
      <c r="B34" s="183" t="s">
        <v>138</v>
      </c>
      <c r="C34" s="163" t="s">
        <v>137</v>
      </c>
      <c r="D34" s="180">
        <f>49.66*0.25*0.6</f>
        <v>7.448999999999999</v>
      </c>
      <c r="E34" s="181"/>
      <c r="F34" s="106"/>
    </row>
    <row r="35" spans="1:6" ht="15" customHeight="1" x14ac:dyDescent="0.3">
      <c r="A35" s="148" t="s">
        <v>116</v>
      </c>
      <c r="B35" s="183" t="s">
        <v>657</v>
      </c>
      <c r="C35" s="163" t="s">
        <v>117</v>
      </c>
      <c r="D35" s="180">
        <f>4*49.66*0.394+249*0.76*0.222</f>
        <v>120.27544</v>
      </c>
      <c r="E35" s="181"/>
      <c r="F35" s="106"/>
    </row>
    <row r="36" spans="1:6" ht="15" customHeight="1" x14ac:dyDescent="0.3">
      <c r="A36" s="147" t="s">
        <v>120</v>
      </c>
      <c r="B36" s="179" t="s">
        <v>416</v>
      </c>
      <c r="C36" s="163"/>
      <c r="D36" s="180"/>
      <c r="E36" s="181"/>
      <c r="F36" s="106"/>
    </row>
    <row r="37" spans="1:6" ht="15" customHeight="1" x14ac:dyDescent="0.3">
      <c r="A37" s="148" t="s">
        <v>122</v>
      </c>
      <c r="B37" s="183" t="s">
        <v>138</v>
      </c>
      <c r="C37" s="163" t="s">
        <v>137</v>
      </c>
      <c r="D37" s="180">
        <f>0.8*(12*0.15*0.15+3*0.3*0.15+0.25*0.15+0.3*0.15+0.15*0.15)</f>
        <v>0.40799999999999992</v>
      </c>
      <c r="E37" s="181"/>
      <c r="F37" s="106"/>
    </row>
    <row r="38" spans="1:6" ht="15" customHeight="1" x14ac:dyDescent="0.3">
      <c r="A38" s="148" t="s">
        <v>123</v>
      </c>
      <c r="B38" s="183" t="s">
        <v>657</v>
      </c>
      <c r="C38" s="163" t="s">
        <v>117</v>
      </c>
      <c r="D38" s="184">
        <f>0.8*(12*4*0.616+3*(4*0.616+2*0.394)+4*0.616+2*0.394+6*0.616+2*0.394)</f>
        <v>37.647999999999989</v>
      </c>
      <c r="E38" s="181"/>
      <c r="F38" s="106"/>
    </row>
    <row r="39" spans="1:6" ht="15" customHeight="1" x14ac:dyDescent="0.3">
      <c r="A39" s="148" t="s">
        <v>124</v>
      </c>
      <c r="B39" s="183" t="s">
        <v>118</v>
      </c>
      <c r="C39" s="163" t="s">
        <v>119</v>
      </c>
      <c r="D39" s="180">
        <f>0.8*(23*0.15+3*0.3+2*0.25)*1.1</f>
        <v>4.2679999999999998</v>
      </c>
      <c r="E39" s="181"/>
      <c r="F39" s="106"/>
    </row>
    <row r="40" spans="1:6" ht="15" customHeight="1" x14ac:dyDescent="0.3">
      <c r="A40" s="147" t="s">
        <v>125</v>
      </c>
      <c r="B40" s="179" t="s">
        <v>133</v>
      </c>
      <c r="C40" s="185"/>
      <c r="D40" s="185"/>
      <c r="E40" s="185"/>
      <c r="F40" s="106"/>
    </row>
    <row r="41" spans="1:6" ht="15" customHeight="1" x14ac:dyDescent="0.3">
      <c r="A41" s="148" t="s">
        <v>126</v>
      </c>
      <c r="B41" s="183" t="s">
        <v>139</v>
      </c>
      <c r="C41" s="163" t="s">
        <v>131</v>
      </c>
      <c r="D41" s="180">
        <f>49.66*0.6*1.1</f>
        <v>32.775599999999997</v>
      </c>
      <c r="E41" s="181"/>
      <c r="F41" s="106"/>
    </row>
    <row r="42" spans="1:6" ht="15" customHeight="1" x14ac:dyDescent="0.3">
      <c r="A42" s="147" t="s">
        <v>127</v>
      </c>
      <c r="B42" s="179" t="s">
        <v>140</v>
      </c>
      <c r="C42" s="163"/>
      <c r="D42" s="180"/>
      <c r="E42" s="181"/>
      <c r="F42" s="106"/>
    </row>
    <row r="43" spans="1:6" ht="15" customHeight="1" x14ac:dyDescent="0.3">
      <c r="A43" s="148" t="s">
        <v>128</v>
      </c>
      <c r="B43" s="183" t="s">
        <v>141</v>
      </c>
      <c r="C43" s="163" t="s">
        <v>131</v>
      </c>
      <c r="D43" s="180">
        <v>57.08</v>
      </c>
      <c r="E43" s="181"/>
      <c r="F43" s="106"/>
    </row>
    <row r="44" spans="1:6" ht="15" customHeight="1" x14ac:dyDescent="0.3">
      <c r="A44" s="148" t="s">
        <v>129</v>
      </c>
      <c r="B44" s="183" t="s">
        <v>135</v>
      </c>
      <c r="C44" s="163" t="s">
        <v>131</v>
      </c>
      <c r="D44" s="180">
        <f>+D43</f>
        <v>57.08</v>
      </c>
      <c r="E44" s="181"/>
      <c r="F44" s="106"/>
    </row>
    <row r="45" spans="1:6" ht="15" customHeight="1" x14ac:dyDescent="0.3">
      <c r="A45" s="148" t="s">
        <v>130</v>
      </c>
      <c r="B45" s="183" t="s">
        <v>118</v>
      </c>
      <c r="C45" s="163" t="s">
        <v>131</v>
      </c>
      <c r="D45" s="180">
        <f>49.66*0.2</f>
        <v>9.9320000000000004</v>
      </c>
      <c r="E45" s="181"/>
      <c r="F45" s="106"/>
    </row>
    <row r="46" spans="1:6" ht="15" customHeight="1" x14ac:dyDescent="0.3">
      <c r="A46" s="147" t="s">
        <v>132</v>
      </c>
      <c r="B46" s="179" t="s">
        <v>179</v>
      </c>
      <c r="C46" s="163"/>
      <c r="D46" s="180"/>
      <c r="E46" s="181"/>
      <c r="F46" s="106"/>
    </row>
    <row r="47" spans="1:6" ht="15" customHeight="1" x14ac:dyDescent="0.3">
      <c r="A47" s="148" t="s">
        <v>134</v>
      </c>
      <c r="B47" s="183" t="s">
        <v>180</v>
      </c>
      <c r="C47" s="163" t="s">
        <v>131</v>
      </c>
      <c r="D47" s="180">
        <f>57.08-(2.5+2.5)</f>
        <v>52.08</v>
      </c>
      <c r="E47" s="181"/>
      <c r="F47" s="106"/>
    </row>
    <row r="48" spans="1:6" ht="15" customHeight="1" x14ac:dyDescent="0.3">
      <c r="A48" s="148" t="s">
        <v>660</v>
      </c>
      <c r="B48" s="183" t="s">
        <v>662</v>
      </c>
      <c r="C48" s="163" t="s">
        <v>131</v>
      </c>
      <c r="D48" s="180">
        <f>2.5*2</f>
        <v>5</v>
      </c>
      <c r="E48" s="181"/>
      <c r="F48" s="106"/>
    </row>
    <row r="49" spans="1:6" ht="15" customHeight="1" thickBot="1" x14ac:dyDescent="0.35">
      <c r="A49" s="188"/>
      <c r="B49" s="103"/>
      <c r="C49" s="189"/>
      <c r="D49" s="190"/>
      <c r="E49" s="181"/>
      <c r="F49" s="102"/>
    </row>
    <row r="50" spans="1:6" ht="15" customHeight="1" thickBot="1" x14ac:dyDescent="0.35">
      <c r="A50" s="821" t="s">
        <v>146</v>
      </c>
      <c r="B50" s="822"/>
      <c r="C50" s="822"/>
      <c r="D50" s="822"/>
      <c r="E50" s="823"/>
      <c r="F50" s="609"/>
    </row>
    <row r="51" spans="1:6" ht="15" customHeight="1" x14ac:dyDescent="0.3">
      <c r="A51" s="54"/>
      <c r="B51" s="687"/>
      <c r="C51" s="60"/>
      <c r="D51" s="131"/>
      <c r="E51" s="51"/>
      <c r="F51" s="89"/>
    </row>
    <row r="52" spans="1:6" ht="15" customHeight="1" x14ac:dyDescent="0.3">
      <c r="A52" s="147" t="s">
        <v>10</v>
      </c>
      <c r="B52" s="175" t="s">
        <v>167</v>
      </c>
      <c r="C52" s="176"/>
      <c r="D52" s="191"/>
      <c r="E52" s="192"/>
      <c r="F52" s="104"/>
    </row>
    <row r="53" spans="1:6" ht="15" customHeight="1" x14ac:dyDescent="0.3">
      <c r="A53" s="147" t="s">
        <v>11</v>
      </c>
      <c r="B53" s="179" t="s">
        <v>168</v>
      </c>
      <c r="C53" s="176"/>
      <c r="D53" s="191"/>
      <c r="E53" s="192"/>
      <c r="F53" s="104"/>
    </row>
    <row r="54" spans="1:6" ht="15" customHeight="1" x14ac:dyDescent="0.3">
      <c r="A54" s="148" t="s">
        <v>147</v>
      </c>
      <c r="B54" s="183" t="s">
        <v>138</v>
      </c>
      <c r="C54" s="163" t="s">
        <v>137</v>
      </c>
      <c r="D54" s="182">
        <f>3*0.3*0.15*3+3*(0.15*0.15+0.15*0.1)*3.38+(0.25*0.15+3*0.15*0.15)*4.11+(3*0.15*0.15+0.3*0.15)*3.9+3*(4*0.15*0.15+2*0.15*0.1)+(3.74+4.11+3.6+3.32+3.61+3.9+3.52*2)*0.15*0.1</f>
        <v>2.4553499999999997</v>
      </c>
      <c r="E54" s="187"/>
      <c r="F54" s="105"/>
    </row>
    <row r="55" spans="1:6" ht="15" customHeight="1" x14ac:dyDescent="0.3">
      <c r="A55" s="148" t="s">
        <v>148</v>
      </c>
      <c r="B55" s="183" t="s">
        <v>658</v>
      </c>
      <c r="C55" s="163" t="s">
        <v>84</v>
      </c>
      <c r="D55" s="193">
        <v>248.49</v>
      </c>
      <c r="E55" s="187"/>
      <c r="F55" s="105"/>
    </row>
    <row r="56" spans="1:6" ht="15" customHeight="1" x14ac:dyDescent="0.3">
      <c r="A56" s="148" t="s">
        <v>149</v>
      </c>
      <c r="B56" s="183" t="s">
        <v>118</v>
      </c>
      <c r="C56" s="163" t="s">
        <v>131</v>
      </c>
      <c r="D56" s="182">
        <v>25.62</v>
      </c>
      <c r="E56" s="187"/>
      <c r="F56" s="105"/>
    </row>
    <row r="57" spans="1:6" ht="15" customHeight="1" x14ac:dyDescent="0.3">
      <c r="A57" s="147" t="s">
        <v>12</v>
      </c>
      <c r="B57" s="179" t="s">
        <v>169</v>
      </c>
      <c r="C57" s="163"/>
      <c r="D57" s="182"/>
      <c r="E57" s="187"/>
      <c r="F57" s="105"/>
    </row>
    <row r="58" spans="1:6" ht="15" customHeight="1" x14ac:dyDescent="0.3">
      <c r="A58" s="148" t="s">
        <v>150</v>
      </c>
      <c r="B58" s="183" t="s">
        <v>138</v>
      </c>
      <c r="C58" s="163" t="s">
        <v>137</v>
      </c>
      <c r="D58" s="182">
        <f>49.66*0.2*0.15+5.36*0.2*0.1</f>
        <v>1.597</v>
      </c>
      <c r="E58" s="187"/>
      <c r="F58" s="105"/>
    </row>
    <row r="59" spans="1:6" ht="15" customHeight="1" x14ac:dyDescent="0.3">
      <c r="A59" s="148" t="s">
        <v>151</v>
      </c>
      <c r="B59" s="183" t="s">
        <v>658</v>
      </c>
      <c r="C59" s="163" t="s">
        <v>84</v>
      </c>
      <c r="D59" s="193">
        <v>115.51</v>
      </c>
      <c r="E59" s="187"/>
      <c r="F59" s="105"/>
    </row>
    <row r="60" spans="1:6" ht="15" customHeight="1" x14ac:dyDescent="0.3">
      <c r="A60" s="148" t="s">
        <v>152</v>
      </c>
      <c r="B60" s="183" t="s">
        <v>118</v>
      </c>
      <c r="C60" s="163" t="s">
        <v>131</v>
      </c>
      <c r="D60" s="182">
        <f>+(49.66+5.36)*2*0.2*1.1</f>
        <v>24.2088</v>
      </c>
      <c r="E60" s="187"/>
      <c r="F60" s="105"/>
    </row>
    <row r="61" spans="1:6" ht="15" customHeight="1" x14ac:dyDescent="0.3">
      <c r="A61" s="147" t="s">
        <v>13</v>
      </c>
      <c r="B61" s="179" t="s">
        <v>663</v>
      </c>
      <c r="C61" s="163"/>
      <c r="D61" s="182"/>
      <c r="E61" s="187"/>
      <c r="F61" s="105"/>
    </row>
    <row r="62" spans="1:6" ht="15" customHeight="1" x14ac:dyDescent="0.3">
      <c r="A62" s="148" t="s">
        <v>153</v>
      </c>
      <c r="B62" s="194" t="s">
        <v>138</v>
      </c>
      <c r="C62" s="163" t="s">
        <v>137</v>
      </c>
      <c r="D62" s="182">
        <f>1.68*0.4</f>
        <v>0.67200000000000004</v>
      </c>
      <c r="E62" s="187"/>
      <c r="F62" s="105"/>
    </row>
    <row r="63" spans="1:6" ht="15" customHeight="1" x14ac:dyDescent="0.3">
      <c r="A63" s="148" t="s">
        <v>154</v>
      </c>
      <c r="B63" s="194" t="s">
        <v>658</v>
      </c>
      <c r="C63" s="163" t="s">
        <v>84</v>
      </c>
      <c r="D63" s="193">
        <f>+D62*60</f>
        <v>40.32</v>
      </c>
      <c r="E63" s="187"/>
      <c r="F63" s="105"/>
    </row>
    <row r="64" spans="1:6" ht="15" customHeight="1" x14ac:dyDescent="0.3">
      <c r="A64" s="148" t="s">
        <v>155</v>
      </c>
      <c r="B64" s="194" t="s">
        <v>118</v>
      </c>
      <c r="C64" s="163" t="s">
        <v>131</v>
      </c>
      <c r="D64" s="182">
        <f>0.15*0.35*2+1.68*0.15</f>
        <v>0.35699999999999998</v>
      </c>
      <c r="E64" s="187"/>
      <c r="F64" s="105"/>
    </row>
    <row r="65" spans="1:6" ht="15" customHeight="1" x14ac:dyDescent="0.3">
      <c r="A65" s="147" t="s">
        <v>156</v>
      </c>
      <c r="B65" s="179" t="s">
        <v>164</v>
      </c>
      <c r="C65" s="163"/>
      <c r="D65" s="182"/>
      <c r="E65" s="187"/>
      <c r="F65" s="105"/>
    </row>
    <row r="66" spans="1:6" ht="15" customHeight="1" x14ac:dyDescent="0.3">
      <c r="A66" s="148" t="s">
        <v>157</v>
      </c>
      <c r="B66" s="183" t="s">
        <v>165</v>
      </c>
      <c r="C66" s="163" t="s">
        <v>131</v>
      </c>
      <c r="D66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6" s="195"/>
      <c r="F66" s="105"/>
    </row>
    <row r="67" spans="1:6" ht="15" customHeight="1" x14ac:dyDescent="0.3">
      <c r="A67" s="148" t="s">
        <v>158</v>
      </c>
      <c r="B67" s="183" t="s">
        <v>166</v>
      </c>
      <c r="C67" s="163" t="s">
        <v>131</v>
      </c>
      <c r="D67" s="180">
        <f>+(2.13+0.73+2.4)*3-(2*0.7*2.2)</f>
        <v>12.7</v>
      </c>
      <c r="E67" s="181"/>
      <c r="F67" s="105"/>
    </row>
    <row r="68" spans="1:6" ht="15" customHeight="1" x14ac:dyDescent="0.3">
      <c r="A68" s="147" t="s">
        <v>159</v>
      </c>
      <c r="B68" s="179" t="s">
        <v>173</v>
      </c>
      <c r="C68" s="163"/>
      <c r="D68" s="180"/>
      <c r="E68" s="181"/>
      <c r="F68" s="105"/>
    </row>
    <row r="69" spans="1:6" ht="15" customHeight="1" x14ac:dyDescent="0.3">
      <c r="A69" s="148" t="s">
        <v>160</v>
      </c>
      <c r="B69" s="183" t="s">
        <v>673</v>
      </c>
      <c r="C69" s="163" t="s">
        <v>131</v>
      </c>
      <c r="D69" s="180">
        <f>+((36.87-(2*1.44+0.95+3.31))+(17.19-0.36)+(36.87-(2*1.44+3.31+0.36))+2*(17.19-2*6.8))+17.19-(0.9*2.2+1.44)</f>
        <v>97.83</v>
      </c>
      <c r="E69" s="181"/>
      <c r="F69" s="105"/>
    </row>
    <row r="70" spans="1:6" ht="15" customHeight="1" x14ac:dyDescent="0.3">
      <c r="A70" s="148" t="s">
        <v>161</v>
      </c>
      <c r="B70" s="183" t="s">
        <v>174</v>
      </c>
      <c r="C70" s="163" t="s">
        <v>131</v>
      </c>
      <c r="D70" s="180">
        <f>97.83-2*(17.19-(2*6.8))+2*((13.03-1.98)+(3.72*4.15)+(20.31-1.98))</f>
        <v>180.286</v>
      </c>
      <c r="E70" s="181"/>
      <c r="F70" s="105"/>
    </row>
    <row r="71" spans="1:6" s="18" customFormat="1" ht="24.9" customHeight="1" x14ac:dyDescent="0.3">
      <c r="A71" s="483" t="s">
        <v>170</v>
      </c>
      <c r="B71" s="183" t="s">
        <v>703</v>
      </c>
      <c r="C71" s="482" t="s">
        <v>131</v>
      </c>
      <c r="D71" s="484">
        <f>2*(6.4*3-1.76)</f>
        <v>34.880000000000003</v>
      </c>
      <c r="E71" s="485"/>
      <c r="F71" s="724"/>
    </row>
    <row r="72" spans="1:6" ht="15" customHeight="1" x14ac:dyDescent="0.3">
      <c r="A72" s="147" t="s">
        <v>162</v>
      </c>
      <c r="B72" s="179" t="s">
        <v>171</v>
      </c>
      <c r="C72" s="163"/>
      <c r="D72" s="180"/>
      <c r="E72" s="181"/>
      <c r="F72" s="105"/>
    </row>
    <row r="73" spans="1:6" ht="15" customHeight="1" x14ac:dyDescent="0.3">
      <c r="A73" s="148" t="s">
        <v>163</v>
      </c>
      <c r="B73" s="183" t="s">
        <v>172</v>
      </c>
      <c r="C73" s="163" t="s">
        <v>131</v>
      </c>
      <c r="D73" s="180">
        <v>1.2</v>
      </c>
      <c r="E73" s="181"/>
      <c r="F73" s="105"/>
    </row>
    <row r="74" spans="1:6" ht="15" customHeight="1" thickBot="1" x14ac:dyDescent="0.35">
      <c r="A74" s="196"/>
      <c r="B74" s="197"/>
      <c r="C74" s="198"/>
      <c r="D74" s="199"/>
      <c r="E74" s="200"/>
      <c r="F74" s="107"/>
    </row>
    <row r="75" spans="1:6" ht="15" customHeight="1" thickBot="1" x14ac:dyDescent="0.35">
      <c r="A75" s="821" t="s">
        <v>175</v>
      </c>
      <c r="B75" s="822"/>
      <c r="C75" s="822"/>
      <c r="D75" s="822"/>
      <c r="E75" s="823"/>
      <c r="F75" s="609"/>
    </row>
    <row r="76" spans="1:6" ht="15" customHeight="1" thickBot="1" x14ac:dyDescent="0.35">
      <c r="A76" s="688"/>
      <c r="B76" s="689"/>
      <c r="C76" s="690"/>
      <c r="D76" s="691"/>
      <c r="E76" s="692"/>
      <c r="F76" s="693"/>
    </row>
    <row r="77" spans="1:6" ht="15" customHeight="1" thickBot="1" x14ac:dyDescent="0.35">
      <c r="A77" s="821" t="s">
        <v>191</v>
      </c>
      <c r="B77" s="822"/>
      <c r="C77" s="822"/>
      <c r="D77" s="822"/>
      <c r="E77" s="823"/>
      <c r="F77" s="586"/>
    </row>
    <row r="78" spans="1:6" ht="15" customHeight="1" x14ac:dyDescent="0.3">
      <c r="A78" s="694"/>
      <c r="B78" s="695"/>
      <c r="C78" s="696"/>
      <c r="D78" s="697"/>
      <c r="E78" s="698"/>
      <c r="F78" s="699"/>
    </row>
    <row r="79" spans="1:6" ht="15" customHeight="1" x14ac:dyDescent="0.3">
      <c r="A79" s="58" t="s">
        <v>176</v>
      </c>
      <c r="B79" s="99" t="s">
        <v>177</v>
      </c>
      <c r="C79" s="60"/>
      <c r="D79" s="131"/>
      <c r="E79" s="51"/>
      <c r="F79" s="89"/>
    </row>
    <row r="80" spans="1:6" ht="15" customHeight="1" x14ac:dyDescent="0.3">
      <c r="A80" s="54"/>
      <c r="B80" s="167"/>
      <c r="C80" s="60"/>
      <c r="D80" s="131"/>
      <c r="E80" s="51"/>
      <c r="F80" s="89"/>
    </row>
    <row r="81" spans="1:6" ht="15" customHeight="1" x14ac:dyDescent="0.3">
      <c r="A81" s="54" t="s">
        <v>53</v>
      </c>
      <c r="B81" s="111" t="s">
        <v>732</v>
      </c>
      <c r="C81" s="60"/>
      <c r="D81" s="131"/>
      <c r="E81" s="80"/>
      <c r="F81" s="112"/>
    </row>
    <row r="82" spans="1:6" ht="24.9" customHeight="1" x14ac:dyDescent="0.3">
      <c r="A82" s="61" t="s">
        <v>82</v>
      </c>
      <c r="B82" s="69" t="s">
        <v>181</v>
      </c>
      <c r="C82" s="163" t="s">
        <v>131</v>
      </c>
      <c r="D82" s="70">
        <f>2*2.4</f>
        <v>4.8</v>
      </c>
      <c r="E82" s="393"/>
      <c r="F82" s="588"/>
    </row>
    <row r="83" spans="1:6" ht="15" customHeight="1" x14ac:dyDescent="0.3">
      <c r="A83" s="61" t="s">
        <v>178</v>
      </c>
      <c r="B83" s="113" t="s">
        <v>717</v>
      </c>
      <c r="C83" s="60" t="s">
        <v>15</v>
      </c>
      <c r="D83" s="131">
        <f>2*(6.4-0.8)</f>
        <v>11.200000000000001</v>
      </c>
      <c r="E83" s="393"/>
      <c r="F83" s="588"/>
    </row>
    <row r="84" spans="1:6" ht="15" customHeight="1" thickBot="1" x14ac:dyDescent="0.35">
      <c r="A84" s="76"/>
      <c r="B84" s="114"/>
      <c r="C84" s="63"/>
      <c r="D84" s="206"/>
      <c r="E84" s="207"/>
      <c r="F84" s="115"/>
    </row>
    <row r="85" spans="1:6" ht="15" customHeight="1" thickBot="1" x14ac:dyDescent="0.35">
      <c r="A85" s="821" t="s">
        <v>192</v>
      </c>
      <c r="B85" s="822"/>
      <c r="C85" s="822"/>
      <c r="D85" s="822"/>
      <c r="E85" s="823"/>
      <c r="F85" s="589"/>
    </row>
    <row r="86" spans="1:6" ht="15" customHeight="1" x14ac:dyDescent="0.3">
      <c r="A86" s="116"/>
      <c r="B86" s="117"/>
      <c r="C86" s="117"/>
      <c r="D86" s="117"/>
      <c r="E86" s="117"/>
      <c r="F86" s="118"/>
    </row>
    <row r="87" spans="1:6" ht="15" customHeight="1" x14ac:dyDescent="0.3">
      <c r="A87" s="58" t="s">
        <v>182</v>
      </c>
      <c r="B87" s="99" t="s">
        <v>656</v>
      </c>
      <c r="C87" s="60"/>
      <c r="D87" s="131"/>
      <c r="E87" s="51"/>
      <c r="F87" s="89"/>
    </row>
    <row r="88" spans="1:6" ht="15" customHeight="1" x14ac:dyDescent="0.3">
      <c r="A88" s="54"/>
      <c r="B88" s="167"/>
      <c r="C88" s="60"/>
      <c r="D88" s="131"/>
      <c r="E88" s="51"/>
      <c r="F88" s="89"/>
    </row>
    <row r="89" spans="1:6" ht="15" customHeight="1" x14ac:dyDescent="0.3">
      <c r="A89" s="64" t="s">
        <v>186</v>
      </c>
      <c r="B89" s="111" t="s">
        <v>188</v>
      </c>
      <c r="C89" s="60"/>
      <c r="D89" s="131"/>
      <c r="E89" s="80"/>
      <c r="F89" s="119"/>
    </row>
    <row r="90" spans="1:6" ht="15" customHeight="1" x14ac:dyDescent="0.3">
      <c r="A90" s="65" t="s">
        <v>187</v>
      </c>
      <c r="B90" s="69" t="s">
        <v>675</v>
      </c>
      <c r="C90" s="60" t="s">
        <v>15</v>
      </c>
      <c r="D90" s="131">
        <f>14*1*5+14*0.8+0.6*2*4</f>
        <v>86</v>
      </c>
      <c r="E90" s="393"/>
      <c r="F90" s="591"/>
    </row>
    <row r="91" spans="1:6" ht="15" customHeight="1" thickBot="1" x14ac:dyDescent="0.35">
      <c r="A91" s="700"/>
      <c r="B91" s="114"/>
      <c r="C91" s="63"/>
      <c r="D91" s="206"/>
      <c r="E91" s="207"/>
      <c r="F91" s="115"/>
    </row>
    <row r="92" spans="1:6" ht="15" customHeight="1" thickBot="1" x14ac:dyDescent="0.35">
      <c r="A92" s="821" t="s">
        <v>194</v>
      </c>
      <c r="B92" s="822"/>
      <c r="C92" s="822"/>
      <c r="D92" s="822"/>
      <c r="E92" s="823"/>
      <c r="F92" s="589"/>
    </row>
    <row r="93" spans="1:6" ht="15" customHeight="1" x14ac:dyDescent="0.3">
      <c r="A93" s="701"/>
      <c r="B93" s="397"/>
      <c r="C93" s="397"/>
      <c r="D93" s="397"/>
      <c r="E93" s="397"/>
      <c r="F93" s="702"/>
    </row>
    <row r="94" spans="1:6" ht="15" customHeight="1" x14ac:dyDescent="0.3">
      <c r="A94" s="58" t="s">
        <v>183</v>
      </c>
      <c r="B94" s="99" t="s">
        <v>184</v>
      </c>
      <c r="C94" s="60"/>
      <c r="D94" s="131"/>
      <c r="E94" s="51"/>
      <c r="F94" s="89"/>
    </row>
    <row r="95" spans="1:6" ht="15" customHeight="1" x14ac:dyDescent="0.3">
      <c r="A95" s="54"/>
      <c r="B95" s="167"/>
      <c r="C95" s="60"/>
      <c r="D95" s="131"/>
      <c r="E95" s="51"/>
      <c r="F95" s="89"/>
    </row>
    <row r="96" spans="1:6" ht="15" customHeight="1" x14ac:dyDescent="0.3">
      <c r="A96" s="64" t="s">
        <v>16</v>
      </c>
      <c r="B96" s="111" t="s">
        <v>185</v>
      </c>
      <c r="C96" s="60"/>
      <c r="D96" s="131"/>
      <c r="E96" s="80"/>
      <c r="F96" s="112"/>
    </row>
    <row r="97" spans="1:6" ht="15" customHeight="1" x14ac:dyDescent="0.3">
      <c r="A97" s="65" t="s">
        <v>17</v>
      </c>
      <c r="B97" s="69" t="s">
        <v>419</v>
      </c>
      <c r="C97" s="163" t="s">
        <v>131</v>
      </c>
      <c r="D97" s="131">
        <f>5*1.4*1.4</f>
        <v>9.7999999999999989</v>
      </c>
      <c r="E97" s="393"/>
      <c r="F97" s="591"/>
    </row>
    <row r="98" spans="1:6" ht="15" customHeight="1" x14ac:dyDescent="0.3">
      <c r="A98" s="65" t="s">
        <v>19</v>
      </c>
      <c r="B98" s="69" t="s">
        <v>420</v>
      </c>
      <c r="C98" s="163" t="s">
        <v>131</v>
      </c>
      <c r="D98" s="131">
        <f>1.2*1.4</f>
        <v>1.68</v>
      </c>
      <c r="E98" s="393"/>
      <c r="F98" s="591"/>
    </row>
    <row r="99" spans="1:6" ht="15" customHeight="1" x14ac:dyDescent="0.3">
      <c r="A99" s="65" t="s">
        <v>365</v>
      </c>
      <c r="B99" s="69" t="s">
        <v>421</v>
      </c>
      <c r="C99" s="163" t="s">
        <v>131</v>
      </c>
      <c r="D99" s="131">
        <f>0.8*0.8*2</f>
        <v>1.2800000000000002</v>
      </c>
      <c r="E99" s="393"/>
      <c r="F99" s="591"/>
    </row>
    <row r="100" spans="1:6" ht="15" customHeight="1" thickBot="1" x14ac:dyDescent="0.35">
      <c r="A100" s="77"/>
      <c r="B100" s="114"/>
      <c r="C100" s="63"/>
      <c r="D100" s="206"/>
      <c r="E100" s="207"/>
      <c r="F100" s="121"/>
    </row>
    <row r="101" spans="1:6" ht="15" customHeight="1" thickBot="1" x14ac:dyDescent="0.35">
      <c r="A101" s="821" t="s">
        <v>193</v>
      </c>
      <c r="B101" s="822"/>
      <c r="C101" s="822"/>
      <c r="D101" s="822"/>
      <c r="E101" s="823"/>
      <c r="F101" s="589"/>
    </row>
    <row r="102" spans="1:6" ht="15" customHeight="1" x14ac:dyDescent="0.3">
      <c r="A102" s="703"/>
      <c r="B102" s="704"/>
      <c r="C102" s="705"/>
      <c r="D102" s="706"/>
      <c r="E102" s="707"/>
      <c r="F102" s="693"/>
    </row>
    <row r="103" spans="1:6" ht="15" customHeight="1" x14ac:dyDescent="0.3">
      <c r="A103" s="58" t="s">
        <v>195</v>
      </c>
      <c r="B103" s="99" t="s">
        <v>196</v>
      </c>
      <c r="C103" s="60"/>
      <c r="D103" s="131"/>
      <c r="E103" s="51"/>
      <c r="F103" s="89"/>
    </row>
    <row r="104" spans="1:6" ht="15" customHeight="1" x14ac:dyDescent="0.3">
      <c r="A104" s="54"/>
      <c r="B104" s="123"/>
      <c r="C104" s="60"/>
      <c r="D104" s="131"/>
      <c r="E104" s="80"/>
      <c r="F104" s="112"/>
    </row>
    <row r="105" spans="1:6" ht="15" customHeight="1" x14ac:dyDescent="0.3">
      <c r="A105" s="64" t="s">
        <v>20</v>
      </c>
      <c r="B105" s="123" t="s">
        <v>76</v>
      </c>
      <c r="C105" s="60"/>
      <c r="D105" s="131"/>
      <c r="E105" s="80"/>
      <c r="F105" s="119"/>
    </row>
    <row r="106" spans="1:6" ht="15" customHeight="1" x14ac:dyDescent="0.3">
      <c r="A106" s="64" t="s">
        <v>21</v>
      </c>
      <c r="B106" s="124" t="s">
        <v>199</v>
      </c>
      <c r="C106" s="60"/>
      <c r="D106" s="131"/>
      <c r="E106" s="80"/>
      <c r="F106" s="119"/>
    </row>
    <row r="107" spans="1:6" ht="15" customHeight="1" x14ac:dyDescent="0.3">
      <c r="A107" s="65" t="s">
        <v>201</v>
      </c>
      <c r="B107" s="125" t="s">
        <v>197</v>
      </c>
      <c r="C107" s="60" t="s">
        <v>15</v>
      </c>
      <c r="D107" s="131">
        <f>20.43+5.7</f>
        <v>26.13</v>
      </c>
      <c r="E107" s="393"/>
      <c r="F107" s="591"/>
    </row>
    <row r="108" spans="1:6" s="18" customFormat="1" ht="24.9" customHeight="1" x14ac:dyDescent="0.3">
      <c r="A108" s="66" t="s">
        <v>202</v>
      </c>
      <c r="B108" s="69" t="s">
        <v>240</v>
      </c>
      <c r="C108" s="62" t="s">
        <v>15</v>
      </c>
      <c r="D108" s="70">
        <f>+D107</f>
        <v>26.13</v>
      </c>
      <c r="E108" s="383"/>
      <c r="F108" s="591"/>
    </row>
    <row r="109" spans="1:6" ht="15" customHeight="1" x14ac:dyDescent="0.3">
      <c r="A109" s="64" t="s">
        <v>203</v>
      </c>
      <c r="B109" s="124" t="s">
        <v>200</v>
      </c>
      <c r="C109" s="60"/>
      <c r="D109" s="131"/>
      <c r="E109" s="80"/>
      <c r="F109" s="591"/>
    </row>
    <row r="110" spans="1:6" ht="24.9" customHeight="1" x14ac:dyDescent="0.3">
      <c r="A110" s="66" t="s">
        <v>204</v>
      </c>
      <c r="B110" s="69" t="s">
        <v>238</v>
      </c>
      <c r="C110" s="62" t="s">
        <v>15</v>
      </c>
      <c r="D110" s="70">
        <f>+(0.33+1.84+0.8*2+1.5+0.41)*1.1</f>
        <v>6.2480000000000002</v>
      </c>
      <c r="E110" s="383"/>
      <c r="F110" s="591"/>
    </row>
    <row r="111" spans="1:6" ht="15" customHeight="1" x14ac:dyDescent="0.3">
      <c r="A111" s="64" t="s">
        <v>22</v>
      </c>
      <c r="B111" s="123" t="s">
        <v>198</v>
      </c>
      <c r="C111" s="60"/>
      <c r="D111" s="131"/>
      <c r="E111" s="393"/>
      <c r="F111" s="591"/>
    </row>
    <row r="112" spans="1:6" ht="15" customHeight="1" x14ac:dyDescent="0.3">
      <c r="A112" s="64" t="s">
        <v>77</v>
      </c>
      <c r="B112" s="124" t="s">
        <v>205</v>
      </c>
      <c r="C112" s="60"/>
      <c r="D112" s="131"/>
      <c r="E112" s="393"/>
      <c r="F112" s="591"/>
    </row>
    <row r="113" spans="1:6" ht="15" customHeight="1" x14ac:dyDescent="0.3">
      <c r="A113" s="65" t="s">
        <v>208</v>
      </c>
      <c r="B113" s="125" t="s">
        <v>206</v>
      </c>
      <c r="C113" s="60" t="s">
        <v>15</v>
      </c>
      <c r="D113" s="131">
        <f>(2*0.8+2.3+1.05)*1.2</f>
        <v>5.94</v>
      </c>
      <c r="E113" s="393"/>
      <c r="F113" s="591"/>
    </row>
    <row r="114" spans="1:6" ht="15" customHeight="1" x14ac:dyDescent="0.3">
      <c r="A114" s="65" t="s">
        <v>209</v>
      </c>
      <c r="B114" s="113" t="s">
        <v>207</v>
      </c>
      <c r="C114" s="60" t="s">
        <v>15</v>
      </c>
      <c r="D114" s="131">
        <f>(1.45+0.9)*1.2</f>
        <v>2.82</v>
      </c>
      <c r="E114" s="393"/>
      <c r="F114" s="591"/>
    </row>
    <row r="115" spans="1:6" s="613" customFormat="1" ht="15" customHeight="1" x14ac:dyDescent="0.3">
      <c r="A115" s="65" t="s">
        <v>728</v>
      </c>
      <c r="B115" s="113" t="s">
        <v>729</v>
      </c>
      <c r="C115" s="60" t="s">
        <v>15</v>
      </c>
      <c r="D115" s="131">
        <v>2</v>
      </c>
      <c r="E115" s="393"/>
      <c r="F115" s="591"/>
    </row>
    <row r="116" spans="1:6" ht="15" customHeight="1" x14ac:dyDescent="0.3">
      <c r="A116" s="64" t="s">
        <v>23</v>
      </c>
      <c r="B116" s="111" t="s">
        <v>210</v>
      </c>
      <c r="C116" s="60"/>
      <c r="D116" s="131"/>
      <c r="E116" s="393"/>
      <c r="F116" s="591"/>
    </row>
    <row r="117" spans="1:6" ht="15" customHeight="1" x14ac:dyDescent="0.3">
      <c r="A117" s="64" t="s">
        <v>78</v>
      </c>
      <c r="B117" s="127" t="s">
        <v>211</v>
      </c>
      <c r="C117" s="60"/>
      <c r="D117" s="131"/>
      <c r="E117" s="393"/>
      <c r="F117" s="591"/>
    </row>
    <row r="118" spans="1:6" ht="15" customHeight="1" x14ac:dyDescent="0.3">
      <c r="A118" s="65" t="s">
        <v>215</v>
      </c>
      <c r="B118" s="113" t="s">
        <v>239</v>
      </c>
      <c r="C118" s="60" t="s">
        <v>18</v>
      </c>
      <c r="D118" s="131">
        <v>2</v>
      </c>
      <c r="E118" s="393"/>
      <c r="F118" s="591"/>
    </row>
    <row r="119" spans="1:6" ht="15" customHeight="1" x14ac:dyDescent="0.3">
      <c r="A119" s="64" t="s">
        <v>216</v>
      </c>
      <c r="B119" s="111" t="s">
        <v>212</v>
      </c>
      <c r="C119" s="60"/>
      <c r="D119" s="131"/>
      <c r="E119" s="80"/>
      <c r="F119" s="591"/>
    </row>
    <row r="120" spans="1:6" ht="15" customHeight="1" x14ac:dyDescent="0.3">
      <c r="A120" s="64" t="s">
        <v>217</v>
      </c>
      <c r="B120" s="127" t="s">
        <v>213</v>
      </c>
      <c r="C120" s="60"/>
      <c r="D120" s="131"/>
      <c r="E120" s="80"/>
      <c r="F120" s="591"/>
    </row>
    <row r="121" spans="1:6" ht="24.9" customHeight="1" x14ac:dyDescent="0.3">
      <c r="A121" s="66" t="s">
        <v>218</v>
      </c>
      <c r="B121" s="69" t="s">
        <v>425</v>
      </c>
      <c r="C121" s="62" t="s">
        <v>18</v>
      </c>
      <c r="D121" s="70">
        <v>2</v>
      </c>
      <c r="E121" s="383"/>
      <c r="F121" s="591"/>
    </row>
    <row r="122" spans="1:6" ht="24.9" customHeight="1" x14ac:dyDescent="0.3">
      <c r="A122" s="66" t="s">
        <v>219</v>
      </c>
      <c r="B122" s="69" t="s">
        <v>731</v>
      </c>
      <c r="C122" s="62" t="s">
        <v>18</v>
      </c>
      <c r="D122" s="70">
        <v>2</v>
      </c>
      <c r="E122" s="383"/>
      <c r="F122" s="591"/>
    </row>
    <row r="123" spans="1:6" ht="15" customHeight="1" x14ac:dyDescent="0.3">
      <c r="A123" s="64" t="s">
        <v>220</v>
      </c>
      <c r="B123" s="127" t="s">
        <v>221</v>
      </c>
      <c r="C123" s="60"/>
      <c r="D123" s="131"/>
      <c r="E123" s="80"/>
      <c r="F123" s="591"/>
    </row>
    <row r="124" spans="1:6" ht="15" customHeight="1" x14ac:dyDescent="0.3">
      <c r="A124" s="65" t="s">
        <v>222</v>
      </c>
      <c r="B124" s="113" t="s">
        <v>705</v>
      </c>
      <c r="C124" s="60" t="s">
        <v>18</v>
      </c>
      <c r="D124" s="131">
        <v>2</v>
      </c>
      <c r="E124" s="393"/>
      <c r="F124" s="591"/>
    </row>
    <row r="125" spans="1:6" ht="15" customHeight="1" x14ac:dyDescent="0.3">
      <c r="A125" s="65" t="s">
        <v>223</v>
      </c>
      <c r="B125" s="81" t="s">
        <v>668</v>
      </c>
      <c r="C125" s="63" t="s">
        <v>18</v>
      </c>
      <c r="D125" s="212">
        <v>2</v>
      </c>
      <c r="E125" s="401"/>
      <c r="F125" s="591"/>
    </row>
    <row r="126" spans="1:6" ht="15" customHeight="1" x14ac:dyDescent="0.3">
      <c r="A126" s="65" t="s">
        <v>224</v>
      </c>
      <c r="B126" s="81" t="s">
        <v>669</v>
      </c>
      <c r="C126" s="63" t="s">
        <v>18</v>
      </c>
      <c r="D126" s="212">
        <v>2</v>
      </c>
      <c r="E126" s="401"/>
      <c r="F126" s="591"/>
    </row>
    <row r="127" spans="1:6" s="613" customFormat="1" ht="15" customHeight="1" x14ac:dyDescent="0.3">
      <c r="A127" s="65" t="s">
        <v>726</v>
      </c>
      <c r="B127" s="81" t="s">
        <v>727</v>
      </c>
      <c r="C127" s="63" t="s">
        <v>18</v>
      </c>
      <c r="D127" s="212">
        <v>2</v>
      </c>
      <c r="E127" s="401"/>
      <c r="F127" s="591"/>
    </row>
    <row r="128" spans="1:6" ht="15" customHeight="1" thickBot="1" x14ac:dyDescent="0.35">
      <c r="A128" s="78"/>
      <c r="B128" s="128"/>
      <c r="C128" s="63"/>
      <c r="D128" s="206"/>
      <c r="E128" s="207"/>
      <c r="F128" s="592"/>
    </row>
    <row r="129" spans="1:6" ht="15" customHeight="1" thickBot="1" x14ac:dyDescent="0.35">
      <c r="A129" s="821" t="s">
        <v>225</v>
      </c>
      <c r="B129" s="822"/>
      <c r="C129" s="822"/>
      <c r="D129" s="822"/>
      <c r="E129" s="823"/>
      <c r="F129" s="589"/>
    </row>
    <row r="130" spans="1:6" ht="15" customHeight="1" x14ac:dyDescent="0.3">
      <c r="A130" s="708"/>
      <c r="B130" s="709"/>
      <c r="C130" s="696"/>
      <c r="D130" s="697"/>
      <c r="E130" s="698"/>
      <c r="F130" s="699"/>
    </row>
    <row r="131" spans="1:6" ht="15" customHeight="1" x14ac:dyDescent="0.3">
      <c r="A131" s="58" t="s">
        <v>226</v>
      </c>
      <c r="B131" s="99" t="s">
        <v>227</v>
      </c>
      <c r="C131" s="60"/>
      <c r="D131" s="131"/>
      <c r="E131" s="51"/>
      <c r="F131" s="89"/>
    </row>
    <row r="132" spans="1:6" ht="15" customHeight="1" x14ac:dyDescent="0.3">
      <c r="A132" s="708"/>
      <c r="B132" s="709"/>
      <c r="C132" s="696"/>
      <c r="D132" s="697"/>
      <c r="E132" s="698"/>
      <c r="F132" s="699"/>
    </row>
    <row r="133" spans="1:6" ht="15" customHeight="1" x14ac:dyDescent="0.3">
      <c r="A133" s="64" t="s">
        <v>44</v>
      </c>
      <c r="B133" s="111" t="s">
        <v>228</v>
      </c>
      <c r="C133" s="60"/>
      <c r="D133" s="131"/>
      <c r="E133" s="80"/>
      <c r="F133" s="119"/>
    </row>
    <row r="134" spans="1:6" ht="15" customHeight="1" x14ac:dyDescent="0.3">
      <c r="A134" s="64" t="s">
        <v>75</v>
      </c>
      <c r="B134" s="127" t="s">
        <v>229</v>
      </c>
      <c r="C134" s="60"/>
      <c r="D134" s="131"/>
      <c r="E134" s="80"/>
      <c r="F134" s="119"/>
    </row>
    <row r="135" spans="1:6" ht="15" customHeight="1" x14ac:dyDescent="0.3">
      <c r="A135" s="65" t="s">
        <v>242</v>
      </c>
      <c r="B135" s="113" t="s">
        <v>241</v>
      </c>
      <c r="C135" s="60" t="s">
        <v>15</v>
      </c>
      <c r="D135" s="131">
        <f>3.03+3.5</f>
        <v>6.5299999999999994</v>
      </c>
      <c r="E135" s="393"/>
      <c r="F135" s="591"/>
    </row>
    <row r="136" spans="1:6" ht="15" customHeight="1" x14ac:dyDescent="0.3">
      <c r="A136" s="64" t="s">
        <v>24</v>
      </c>
      <c r="B136" s="111" t="s">
        <v>232</v>
      </c>
      <c r="C136" s="60"/>
      <c r="D136" s="131"/>
      <c r="E136" s="393"/>
      <c r="F136" s="591"/>
    </row>
    <row r="137" spans="1:6" ht="15" customHeight="1" x14ac:dyDescent="0.3">
      <c r="A137" s="64" t="s">
        <v>25</v>
      </c>
      <c r="B137" s="130" t="s">
        <v>233</v>
      </c>
      <c r="C137" s="60"/>
      <c r="D137" s="131"/>
      <c r="E137" s="393"/>
      <c r="F137" s="591"/>
    </row>
    <row r="138" spans="1:6" ht="15" customHeight="1" x14ac:dyDescent="0.3">
      <c r="A138" s="68" t="s">
        <v>243</v>
      </c>
      <c r="B138" s="132" t="s">
        <v>230</v>
      </c>
      <c r="C138" s="67" t="s">
        <v>18</v>
      </c>
      <c r="D138" s="133">
        <v>1</v>
      </c>
      <c r="E138" s="593"/>
      <c r="F138" s="591"/>
    </row>
    <row r="139" spans="1:6" ht="15" customHeight="1" x14ac:dyDescent="0.3">
      <c r="A139" s="65" t="s">
        <v>244</v>
      </c>
      <c r="B139" s="69" t="s">
        <v>723</v>
      </c>
      <c r="C139" s="60" t="s">
        <v>18</v>
      </c>
      <c r="D139" s="131">
        <v>1</v>
      </c>
      <c r="E139" s="393"/>
      <c r="F139" s="591"/>
    </row>
    <row r="140" spans="1:6" ht="15" customHeight="1" x14ac:dyDescent="0.3">
      <c r="A140" s="64" t="s">
        <v>245</v>
      </c>
      <c r="B140" s="130" t="s">
        <v>234</v>
      </c>
      <c r="C140" s="60"/>
      <c r="D140" s="131"/>
      <c r="E140" s="393"/>
      <c r="F140" s="591"/>
    </row>
    <row r="141" spans="1:6" ht="15" customHeight="1" x14ac:dyDescent="0.3">
      <c r="A141" s="66" t="s">
        <v>246</v>
      </c>
      <c r="B141" s="69" t="s">
        <v>235</v>
      </c>
      <c r="C141" s="62" t="s">
        <v>18</v>
      </c>
      <c r="D141" s="70">
        <v>1</v>
      </c>
      <c r="E141" s="383"/>
      <c r="F141" s="591"/>
    </row>
    <row r="142" spans="1:6" ht="15" customHeight="1" x14ac:dyDescent="0.3">
      <c r="A142" s="64" t="s">
        <v>247</v>
      </c>
      <c r="B142" s="130" t="s">
        <v>236</v>
      </c>
      <c r="C142" s="62"/>
      <c r="D142" s="70"/>
      <c r="E142" s="383"/>
      <c r="F142" s="591"/>
    </row>
    <row r="143" spans="1:6" ht="15" customHeight="1" x14ac:dyDescent="0.3">
      <c r="A143" s="66" t="s">
        <v>248</v>
      </c>
      <c r="B143" s="69" t="s">
        <v>237</v>
      </c>
      <c r="C143" s="62" t="s">
        <v>18</v>
      </c>
      <c r="D143" s="70">
        <v>1</v>
      </c>
      <c r="E143" s="383"/>
      <c r="F143" s="591"/>
    </row>
    <row r="144" spans="1:6" ht="15" customHeight="1" thickBot="1" x14ac:dyDescent="0.35">
      <c r="A144" s="710"/>
      <c r="B144" s="711"/>
      <c r="C144" s="712"/>
      <c r="D144" s="713"/>
      <c r="E144" s="714"/>
      <c r="F144" s="715"/>
    </row>
    <row r="145" spans="1:9" ht="15" customHeight="1" thickBot="1" x14ac:dyDescent="0.35">
      <c r="A145" s="821" t="s">
        <v>231</v>
      </c>
      <c r="B145" s="822"/>
      <c r="C145" s="822"/>
      <c r="D145" s="822"/>
      <c r="E145" s="823"/>
      <c r="F145" s="586"/>
    </row>
    <row r="146" spans="1:9" ht="15" customHeight="1" x14ac:dyDescent="0.3">
      <c r="A146" s="716"/>
      <c r="B146" s="111"/>
      <c r="C146" s="60"/>
      <c r="D146" s="131"/>
      <c r="E146" s="80"/>
      <c r="F146" s="112"/>
    </row>
    <row r="147" spans="1:9" ht="15" customHeight="1" x14ac:dyDescent="0.3">
      <c r="A147" s="58" t="s">
        <v>249</v>
      </c>
      <c r="B147" s="99" t="s">
        <v>250</v>
      </c>
      <c r="C147" s="60"/>
      <c r="D147" s="131"/>
      <c r="E147" s="51"/>
      <c r="F147" s="89"/>
    </row>
    <row r="148" spans="1:9" ht="15" customHeight="1" x14ac:dyDescent="0.3">
      <c r="A148" s="716"/>
      <c r="B148" s="111"/>
      <c r="C148" s="60"/>
      <c r="D148" s="131"/>
      <c r="E148" s="80"/>
      <c r="F148" s="112"/>
    </row>
    <row r="149" spans="1:9" ht="15" customHeight="1" x14ac:dyDescent="0.3">
      <c r="A149" s="64" t="s">
        <v>26</v>
      </c>
      <c r="B149" s="111" t="s">
        <v>251</v>
      </c>
      <c r="C149" s="60"/>
      <c r="D149" s="131"/>
      <c r="E149" s="80"/>
      <c r="F149" s="119"/>
    </row>
    <row r="150" spans="1:9" ht="15" customHeight="1" x14ac:dyDescent="0.3">
      <c r="A150" s="64" t="s">
        <v>42</v>
      </c>
      <c r="B150" s="127" t="s">
        <v>253</v>
      </c>
      <c r="C150" s="60"/>
      <c r="D150" s="131"/>
      <c r="E150" s="80"/>
      <c r="F150" s="119"/>
    </row>
    <row r="151" spans="1:9" ht="15" customHeight="1" x14ac:dyDescent="0.3">
      <c r="A151" s="65" t="s">
        <v>258</v>
      </c>
      <c r="B151" s="113" t="s">
        <v>422</v>
      </c>
      <c r="C151" s="60" t="s">
        <v>15</v>
      </c>
      <c r="D151" s="131">
        <v>53.03</v>
      </c>
      <c r="E151" s="594"/>
      <c r="F151" s="591"/>
    </row>
    <row r="152" spans="1:9" ht="15" customHeight="1" x14ac:dyDescent="0.3">
      <c r="A152" s="65" t="s">
        <v>259</v>
      </c>
      <c r="B152" s="113" t="s">
        <v>252</v>
      </c>
      <c r="C152" s="60" t="s">
        <v>15</v>
      </c>
      <c r="D152" s="131">
        <f>+D151</f>
        <v>53.03</v>
      </c>
      <c r="E152" s="594"/>
      <c r="F152" s="591"/>
    </row>
    <row r="153" spans="1:9" ht="15" customHeight="1" x14ac:dyDescent="0.3">
      <c r="A153" s="64" t="s">
        <v>266</v>
      </c>
      <c r="B153" s="127" t="s">
        <v>254</v>
      </c>
      <c r="C153" s="60"/>
      <c r="D153" s="131"/>
      <c r="E153" s="594"/>
      <c r="F153" s="591"/>
      <c r="I153">
        <v>53.03</v>
      </c>
    </row>
    <row r="154" spans="1:9" ht="24.9" customHeight="1" x14ac:dyDescent="0.3">
      <c r="A154" s="66" t="s">
        <v>608</v>
      </c>
      <c r="B154" s="69" t="s">
        <v>280</v>
      </c>
      <c r="C154" s="62" t="s">
        <v>15</v>
      </c>
      <c r="D154" s="70">
        <v>33.47</v>
      </c>
      <c r="E154" s="595"/>
      <c r="F154" s="591"/>
    </row>
    <row r="155" spans="1:9" ht="24.9" customHeight="1" x14ac:dyDescent="0.3">
      <c r="A155" s="66" t="s">
        <v>699</v>
      </c>
      <c r="B155" s="69" t="s">
        <v>264</v>
      </c>
      <c r="C155" s="62" t="s">
        <v>54</v>
      </c>
      <c r="D155" s="70">
        <v>2</v>
      </c>
      <c r="E155" s="595"/>
      <c r="F155" s="591"/>
    </row>
    <row r="156" spans="1:9" ht="15" customHeight="1" x14ac:dyDescent="0.3">
      <c r="A156" s="64" t="s">
        <v>267</v>
      </c>
      <c r="B156" s="127" t="s">
        <v>255</v>
      </c>
      <c r="C156" s="60"/>
      <c r="D156" s="131"/>
      <c r="E156" s="594"/>
      <c r="F156" s="591"/>
    </row>
    <row r="157" spans="1:9" ht="24.9" customHeight="1" x14ac:dyDescent="0.3">
      <c r="A157" s="66" t="s">
        <v>281</v>
      </c>
      <c r="B157" s="69" t="s">
        <v>670</v>
      </c>
      <c r="C157" s="62" t="s">
        <v>18</v>
      </c>
      <c r="D157" s="70">
        <v>1</v>
      </c>
      <c r="E157" s="595"/>
      <c r="F157" s="591"/>
    </row>
    <row r="158" spans="1:9" ht="15" customHeight="1" x14ac:dyDescent="0.3">
      <c r="A158" s="64" t="s">
        <v>27</v>
      </c>
      <c r="B158" s="111" t="s">
        <v>263</v>
      </c>
      <c r="C158" s="60"/>
      <c r="D158" s="131"/>
      <c r="E158" s="594"/>
      <c r="F158" s="591"/>
    </row>
    <row r="159" spans="1:9" ht="15" customHeight="1" x14ac:dyDescent="0.3">
      <c r="A159" s="64" t="s">
        <v>71</v>
      </c>
      <c r="B159" s="127" t="s">
        <v>257</v>
      </c>
      <c r="C159" s="60"/>
      <c r="D159" s="131"/>
      <c r="E159" s="594"/>
      <c r="F159" s="591"/>
    </row>
    <row r="160" spans="1:9" ht="15" customHeight="1" x14ac:dyDescent="0.3">
      <c r="A160" s="65" t="s">
        <v>260</v>
      </c>
      <c r="B160" s="113" t="s">
        <v>423</v>
      </c>
      <c r="C160" s="60" t="s">
        <v>15</v>
      </c>
      <c r="D160" s="131">
        <f>7*1.9*1.2</f>
        <v>15.959999999999997</v>
      </c>
      <c r="E160" s="594"/>
      <c r="F160" s="591"/>
    </row>
    <row r="161" spans="1:6" ht="15" customHeight="1" x14ac:dyDescent="0.3">
      <c r="A161" s="65" t="s">
        <v>261</v>
      </c>
      <c r="B161" s="113" t="s">
        <v>428</v>
      </c>
      <c r="C161" s="60" t="s">
        <v>15</v>
      </c>
      <c r="D161" s="131">
        <f>+(2.45+3.47+3.37+0.3*8+0.72+1.2*2+2.01+3.11+2.53+0.31+2*1.9)*1.2</f>
        <v>31.884</v>
      </c>
      <c r="E161" s="594"/>
      <c r="F161" s="591"/>
    </row>
    <row r="162" spans="1:6" ht="15" customHeight="1" x14ac:dyDescent="0.3">
      <c r="A162" s="65" t="s">
        <v>262</v>
      </c>
      <c r="B162" s="113" t="s">
        <v>256</v>
      </c>
      <c r="C162" s="60" t="s">
        <v>15</v>
      </c>
      <c r="D162" s="131">
        <f>+(2.76+2.37+1.1+1.73+1.56+4.2+1.06+1.78+5.15+2.42+10.46+1.33+1.71+1.95+1.71+1.22+5.11+1.22)*1.2</f>
        <v>58.608000000000004</v>
      </c>
      <c r="E162" s="594"/>
      <c r="F162" s="591"/>
    </row>
    <row r="163" spans="1:6" ht="15" customHeight="1" x14ac:dyDescent="0.3">
      <c r="A163" s="78" t="s">
        <v>28</v>
      </c>
      <c r="B163" s="214" t="s">
        <v>268</v>
      </c>
      <c r="C163" s="185"/>
      <c r="D163" s="165"/>
      <c r="E163" s="185"/>
      <c r="F163" s="591"/>
    </row>
    <row r="164" spans="1:6" ht="15" customHeight="1" x14ac:dyDescent="0.3">
      <c r="A164" s="147" t="s">
        <v>87</v>
      </c>
      <c r="B164" s="215" t="s">
        <v>270</v>
      </c>
      <c r="C164" s="216"/>
      <c r="D164" s="166"/>
      <c r="E164" s="216"/>
      <c r="F164" s="591"/>
    </row>
    <row r="165" spans="1:6" ht="15" customHeight="1" x14ac:dyDescent="0.3">
      <c r="A165" s="148" t="s">
        <v>282</v>
      </c>
      <c r="B165" s="216" t="s">
        <v>269</v>
      </c>
      <c r="C165" s="163" t="s">
        <v>18</v>
      </c>
      <c r="D165" s="169">
        <v>7</v>
      </c>
      <c r="E165" s="216"/>
      <c r="F165" s="591"/>
    </row>
    <row r="166" spans="1:6" ht="15" customHeight="1" x14ac:dyDescent="0.3">
      <c r="A166" s="148" t="s">
        <v>283</v>
      </c>
      <c r="B166" s="216" t="s">
        <v>274</v>
      </c>
      <c r="C166" s="163" t="s">
        <v>18</v>
      </c>
      <c r="D166" s="169">
        <v>1</v>
      </c>
      <c r="E166" s="216"/>
      <c r="F166" s="591"/>
    </row>
    <row r="167" spans="1:6" ht="15" customHeight="1" x14ac:dyDescent="0.3">
      <c r="A167" s="135" t="s">
        <v>89</v>
      </c>
      <c r="B167" s="217" t="s">
        <v>271</v>
      </c>
      <c r="C167" s="185"/>
      <c r="D167" s="165"/>
      <c r="E167" s="185"/>
      <c r="F167" s="591"/>
    </row>
    <row r="168" spans="1:6" ht="15" customHeight="1" x14ac:dyDescent="0.3">
      <c r="A168" s="136" t="s">
        <v>284</v>
      </c>
      <c r="B168" s="113" t="s">
        <v>272</v>
      </c>
      <c r="C168" s="60" t="s">
        <v>18</v>
      </c>
      <c r="D168" s="131">
        <f>1+1+1+1</f>
        <v>4</v>
      </c>
      <c r="E168" s="594"/>
      <c r="F168" s="591"/>
    </row>
    <row r="169" spans="1:6" ht="15" customHeight="1" x14ac:dyDescent="0.3">
      <c r="A169" s="136" t="s">
        <v>285</v>
      </c>
      <c r="B169" s="113" t="s">
        <v>273</v>
      </c>
      <c r="C169" s="60" t="s">
        <v>18</v>
      </c>
      <c r="D169" s="131">
        <f>1+1</f>
        <v>2</v>
      </c>
      <c r="E169" s="594"/>
      <c r="F169" s="591"/>
    </row>
    <row r="170" spans="1:6" ht="15" customHeight="1" x14ac:dyDescent="0.3">
      <c r="A170" s="136" t="s">
        <v>286</v>
      </c>
      <c r="B170" s="113" t="s">
        <v>424</v>
      </c>
      <c r="C170" s="60" t="s">
        <v>18</v>
      </c>
      <c r="D170" s="131">
        <f>1+1</f>
        <v>2</v>
      </c>
      <c r="E170" s="594"/>
      <c r="F170" s="591"/>
    </row>
    <row r="171" spans="1:6" ht="15" customHeight="1" x14ac:dyDescent="0.3">
      <c r="A171" s="135" t="s">
        <v>90</v>
      </c>
      <c r="B171" s="127" t="s">
        <v>275</v>
      </c>
      <c r="C171" s="60"/>
      <c r="D171" s="131"/>
      <c r="E171" s="594"/>
      <c r="F171" s="591"/>
    </row>
    <row r="172" spans="1:6" ht="15" customHeight="1" x14ac:dyDescent="0.3">
      <c r="A172" s="136" t="s">
        <v>287</v>
      </c>
      <c r="B172" s="113" t="s">
        <v>276</v>
      </c>
      <c r="C172" s="60" t="s">
        <v>18</v>
      </c>
      <c r="D172" s="131">
        <v>8</v>
      </c>
      <c r="E172" s="594"/>
      <c r="F172" s="591"/>
    </row>
    <row r="173" spans="1:6" ht="15" customHeight="1" x14ac:dyDescent="0.3">
      <c r="A173" s="136" t="s">
        <v>288</v>
      </c>
      <c r="B173" s="113" t="s">
        <v>277</v>
      </c>
      <c r="C173" s="60" t="s">
        <v>18</v>
      </c>
      <c r="D173" s="131">
        <v>6</v>
      </c>
      <c r="E173" s="594"/>
      <c r="F173" s="591"/>
    </row>
    <row r="174" spans="1:6" ht="15" customHeight="1" x14ac:dyDescent="0.3">
      <c r="A174" s="136" t="s">
        <v>289</v>
      </c>
      <c r="B174" s="113" t="s">
        <v>278</v>
      </c>
      <c r="C174" s="60" t="s">
        <v>18</v>
      </c>
      <c r="D174" s="131">
        <v>1</v>
      </c>
      <c r="E174" s="594"/>
      <c r="F174" s="591"/>
    </row>
    <row r="175" spans="1:6" ht="15" customHeight="1" x14ac:dyDescent="0.3">
      <c r="A175" s="136" t="s">
        <v>290</v>
      </c>
      <c r="B175" s="113" t="s">
        <v>279</v>
      </c>
      <c r="C175" s="60" t="s">
        <v>18</v>
      </c>
      <c r="D175" s="131">
        <v>2</v>
      </c>
      <c r="E175" s="594"/>
      <c r="F175" s="591"/>
    </row>
    <row r="176" spans="1:6" ht="15" customHeight="1" x14ac:dyDescent="0.3">
      <c r="A176" s="135" t="s">
        <v>29</v>
      </c>
      <c r="B176" s="111" t="s">
        <v>232</v>
      </c>
      <c r="C176" s="60"/>
      <c r="D176" s="131"/>
      <c r="E176" s="594"/>
      <c r="F176" s="591"/>
    </row>
    <row r="177" spans="1:6" ht="15" customHeight="1" x14ac:dyDescent="0.3">
      <c r="A177" s="65" t="s">
        <v>91</v>
      </c>
      <c r="B177" s="113" t="s">
        <v>265</v>
      </c>
      <c r="C177" s="60" t="s">
        <v>54</v>
      </c>
      <c r="D177" s="131">
        <v>1</v>
      </c>
      <c r="E177" s="594"/>
      <c r="F177" s="591"/>
    </row>
    <row r="178" spans="1:6" ht="15" customHeight="1" thickBot="1" x14ac:dyDescent="0.35">
      <c r="A178" s="65"/>
      <c r="B178" s="113"/>
      <c r="C178" s="60"/>
      <c r="D178" s="131"/>
      <c r="E178" s="80"/>
      <c r="F178" s="119"/>
    </row>
    <row r="179" spans="1:6" ht="15" customHeight="1" thickBot="1" x14ac:dyDescent="0.35">
      <c r="A179" s="821" t="s">
        <v>291</v>
      </c>
      <c r="B179" s="822"/>
      <c r="C179" s="822"/>
      <c r="D179" s="822"/>
      <c r="E179" s="823"/>
      <c r="F179" s="589"/>
    </row>
    <row r="180" spans="1:6" ht="15" customHeight="1" x14ac:dyDescent="0.3">
      <c r="A180" s="65"/>
      <c r="B180" s="113"/>
      <c r="C180" s="60"/>
      <c r="D180" s="218"/>
      <c r="E180" s="80"/>
      <c r="F180" s="119"/>
    </row>
    <row r="181" spans="1:6" ht="15" customHeight="1" x14ac:dyDescent="0.3">
      <c r="A181" s="58" t="s">
        <v>292</v>
      </c>
      <c r="B181" s="99" t="s">
        <v>293</v>
      </c>
      <c r="C181" s="60"/>
      <c r="D181" s="131"/>
      <c r="E181" s="51"/>
      <c r="F181" s="89"/>
    </row>
    <row r="182" spans="1:6" ht="15" customHeight="1" x14ac:dyDescent="0.3">
      <c r="A182" s="65"/>
      <c r="B182" s="113"/>
      <c r="C182" s="60"/>
      <c r="D182" s="218"/>
      <c r="E182" s="80"/>
      <c r="F182" s="119"/>
    </row>
    <row r="183" spans="1:6" ht="15" customHeight="1" x14ac:dyDescent="0.3">
      <c r="A183" s="64" t="s">
        <v>294</v>
      </c>
      <c r="B183" s="111" t="s">
        <v>295</v>
      </c>
      <c r="C183" s="60"/>
      <c r="D183" s="131"/>
      <c r="E183" s="80"/>
      <c r="F183" s="119"/>
    </row>
    <row r="184" spans="1:6" ht="15" customHeight="1" x14ac:dyDescent="0.3">
      <c r="A184" s="64" t="s">
        <v>296</v>
      </c>
      <c r="B184" s="127" t="s">
        <v>297</v>
      </c>
      <c r="C184" s="60"/>
      <c r="D184" s="218"/>
      <c r="E184" s="80"/>
      <c r="F184" s="119"/>
    </row>
    <row r="185" spans="1:6" ht="15" customHeight="1" x14ac:dyDescent="0.3">
      <c r="A185" s="65" t="s">
        <v>298</v>
      </c>
      <c r="B185" s="113" t="s">
        <v>301</v>
      </c>
      <c r="C185" s="60" t="s">
        <v>18</v>
      </c>
      <c r="D185" s="131">
        <v>1</v>
      </c>
      <c r="E185" s="594"/>
      <c r="F185" s="591"/>
    </row>
    <row r="186" spans="1:6" ht="15" customHeight="1" x14ac:dyDescent="0.3">
      <c r="A186" s="65" t="s">
        <v>299</v>
      </c>
      <c r="B186" s="113" t="s">
        <v>302</v>
      </c>
      <c r="C186" s="60" t="s">
        <v>18</v>
      </c>
      <c r="D186" s="131">
        <v>1</v>
      </c>
      <c r="E186" s="594"/>
      <c r="F186" s="591"/>
    </row>
    <row r="187" spans="1:6" ht="15" customHeight="1" x14ac:dyDescent="0.3">
      <c r="A187" s="64" t="s">
        <v>305</v>
      </c>
      <c r="B187" s="127" t="s">
        <v>300</v>
      </c>
      <c r="C187" s="60"/>
      <c r="D187" s="131"/>
      <c r="E187" s="594"/>
      <c r="F187" s="591"/>
    </row>
    <row r="188" spans="1:6" ht="15" customHeight="1" x14ac:dyDescent="0.3">
      <c r="A188" s="65" t="s">
        <v>306</v>
      </c>
      <c r="B188" s="113" t="s">
        <v>303</v>
      </c>
      <c r="C188" s="60" t="s">
        <v>18</v>
      </c>
      <c r="D188" s="131">
        <v>3</v>
      </c>
      <c r="E188" s="594"/>
      <c r="F188" s="591"/>
    </row>
    <row r="189" spans="1:6" ht="15" customHeight="1" x14ac:dyDescent="0.3">
      <c r="A189" s="65" t="s">
        <v>307</v>
      </c>
      <c r="B189" s="113" t="s">
        <v>304</v>
      </c>
      <c r="C189" s="60" t="s">
        <v>18</v>
      </c>
      <c r="D189" s="131">
        <v>1</v>
      </c>
      <c r="E189" s="594"/>
      <c r="F189" s="591"/>
    </row>
    <row r="190" spans="1:6" ht="15" customHeight="1" thickBot="1" x14ac:dyDescent="0.35">
      <c r="A190" s="65"/>
      <c r="B190" s="113"/>
      <c r="C190" s="60"/>
      <c r="D190" s="218"/>
      <c r="E190" s="80"/>
      <c r="F190" s="119"/>
    </row>
    <row r="191" spans="1:6" ht="15" customHeight="1" thickBot="1" x14ac:dyDescent="0.35">
      <c r="A191" s="821" t="s">
        <v>308</v>
      </c>
      <c r="B191" s="822"/>
      <c r="C191" s="822"/>
      <c r="D191" s="822"/>
      <c r="E191" s="823"/>
      <c r="F191" s="586"/>
    </row>
    <row r="192" spans="1:6" ht="15" customHeight="1" x14ac:dyDescent="0.3">
      <c r="A192" s="65"/>
      <c r="B192" s="113"/>
      <c r="C192" s="60"/>
      <c r="D192" s="218"/>
      <c r="E192" s="80"/>
      <c r="F192" s="119"/>
    </row>
    <row r="193" spans="1:6" ht="15" customHeight="1" x14ac:dyDescent="0.3">
      <c r="A193" s="58" t="s">
        <v>309</v>
      </c>
      <c r="B193" s="99" t="s">
        <v>310</v>
      </c>
      <c r="C193" s="60"/>
      <c r="D193" s="131"/>
      <c r="E193" s="51"/>
      <c r="F193" s="89"/>
    </row>
    <row r="194" spans="1:6" ht="15" customHeight="1" x14ac:dyDescent="0.3">
      <c r="A194" s="65"/>
      <c r="B194" s="113"/>
      <c r="C194" s="60"/>
      <c r="D194" s="218"/>
      <c r="E194" s="80"/>
      <c r="F194" s="119"/>
    </row>
    <row r="195" spans="1:6" ht="15" customHeight="1" x14ac:dyDescent="0.3">
      <c r="A195" s="64" t="s">
        <v>48</v>
      </c>
      <c r="B195" s="111" t="s">
        <v>88</v>
      </c>
      <c r="C195" s="60"/>
      <c r="D195" s="131"/>
      <c r="E195" s="80"/>
      <c r="F195" s="119"/>
    </row>
    <row r="196" spans="1:6" ht="15" customHeight="1" x14ac:dyDescent="0.3">
      <c r="A196" s="64" t="s">
        <v>49</v>
      </c>
      <c r="B196" s="127" t="s">
        <v>311</v>
      </c>
      <c r="C196" s="60"/>
      <c r="D196" s="218"/>
      <c r="E196" s="80"/>
      <c r="F196" s="119"/>
    </row>
    <row r="197" spans="1:6" ht="15" customHeight="1" x14ac:dyDescent="0.3">
      <c r="A197" s="65" t="s">
        <v>313</v>
      </c>
      <c r="B197" s="113" t="s">
        <v>312</v>
      </c>
      <c r="C197" s="60" t="s">
        <v>414</v>
      </c>
      <c r="D197" s="131">
        <v>1</v>
      </c>
      <c r="E197" s="393"/>
      <c r="F197" s="590"/>
    </row>
    <row r="198" spans="1:6" ht="15" customHeight="1" x14ac:dyDescent="0.3">
      <c r="A198" s="64" t="s">
        <v>316</v>
      </c>
      <c r="B198" s="111" t="s">
        <v>314</v>
      </c>
      <c r="C198" s="60"/>
      <c r="D198" s="131"/>
      <c r="E198" s="393"/>
      <c r="F198" s="590"/>
    </row>
    <row r="199" spans="1:6" ht="15" customHeight="1" x14ac:dyDescent="0.3">
      <c r="A199" s="65" t="s">
        <v>319</v>
      </c>
      <c r="B199" s="113" t="s">
        <v>315</v>
      </c>
      <c r="C199" s="60" t="s">
        <v>15</v>
      </c>
      <c r="D199" s="131">
        <f>+(8.29+2*0.3+3)*1.2</f>
        <v>14.267999999999999</v>
      </c>
      <c r="E199" s="393"/>
      <c r="F199" s="590"/>
    </row>
    <row r="200" spans="1:6" ht="15" customHeight="1" x14ac:dyDescent="0.3">
      <c r="A200" s="65" t="s">
        <v>320</v>
      </c>
      <c r="B200" s="113" t="s">
        <v>318</v>
      </c>
      <c r="C200" s="60" t="s">
        <v>15</v>
      </c>
      <c r="D200" s="131">
        <f>+D199</f>
        <v>14.267999999999999</v>
      </c>
      <c r="E200" s="393"/>
      <c r="F200" s="590"/>
    </row>
    <row r="201" spans="1:6" ht="15" customHeight="1" x14ac:dyDescent="0.3">
      <c r="A201" s="65" t="s">
        <v>321</v>
      </c>
      <c r="B201" s="113" t="s">
        <v>317</v>
      </c>
      <c r="C201" s="60" t="s">
        <v>18</v>
      </c>
      <c r="D201" s="131">
        <v>1</v>
      </c>
      <c r="E201" s="393"/>
      <c r="F201" s="590"/>
    </row>
    <row r="202" spans="1:6" ht="15" customHeight="1" x14ac:dyDescent="0.3">
      <c r="A202" s="64" t="s">
        <v>323</v>
      </c>
      <c r="B202" s="111" t="s">
        <v>322</v>
      </c>
      <c r="C202" s="60"/>
      <c r="D202" s="131"/>
      <c r="E202" s="393"/>
      <c r="F202" s="590"/>
    </row>
    <row r="203" spans="1:6" ht="15" customHeight="1" x14ac:dyDescent="0.3">
      <c r="A203" s="65" t="s">
        <v>325</v>
      </c>
      <c r="B203" s="113" t="s">
        <v>324</v>
      </c>
      <c r="C203" s="60" t="s">
        <v>18</v>
      </c>
      <c r="D203" s="131">
        <v>2</v>
      </c>
      <c r="E203" s="393"/>
      <c r="F203" s="590"/>
    </row>
    <row r="204" spans="1:6" ht="15" customHeight="1" thickBot="1" x14ac:dyDescent="0.35">
      <c r="A204" s="65"/>
      <c r="B204" s="113"/>
      <c r="C204" s="60"/>
      <c r="D204" s="218"/>
      <c r="E204" s="80"/>
      <c r="F204" s="119"/>
    </row>
    <row r="205" spans="1:6" ht="15" customHeight="1" thickBot="1" x14ac:dyDescent="0.35">
      <c r="A205" s="821" t="s">
        <v>326</v>
      </c>
      <c r="B205" s="822"/>
      <c r="C205" s="822"/>
      <c r="D205" s="822"/>
      <c r="E205" s="823"/>
      <c r="F205" s="586"/>
    </row>
    <row r="206" spans="1:6" ht="15" customHeight="1" x14ac:dyDescent="0.3">
      <c r="A206" s="65"/>
      <c r="B206" s="113"/>
      <c r="C206" s="60"/>
      <c r="D206" s="218"/>
      <c r="E206" s="80"/>
      <c r="F206" s="119"/>
    </row>
    <row r="207" spans="1:6" ht="15" customHeight="1" x14ac:dyDescent="0.3">
      <c r="A207" s="58" t="s">
        <v>327</v>
      </c>
      <c r="B207" s="99" t="s">
        <v>328</v>
      </c>
      <c r="C207" s="60"/>
      <c r="D207" s="131"/>
      <c r="E207" s="51"/>
      <c r="F207" s="89"/>
    </row>
    <row r="208" spans="1:6" ht="15" customHeight="1" x14ac:dyDescent="0.3">
      <c r="A208" s="65"/>
      <c r="B208" s="113"/>
      <c r="C208" s="60"/>
      <c r="D208" s="218"/>
      <c r="E208" s="80"/>
      <c r="F208" s="119"/>
    </row>
    <row r="209" spans="1:6" ht="15" customHeight="1" x14ac:dyDescent="0.3">
      <c r="A209" s="64" t="s">
        <v>93</v>
      </c>
      <c r="B209" s="111" t="s">
        <v>329</v>
      </c>
      <c r="C209" s="60"/>
      <c r="D209" s="218"/>
      <c r="E209" s="80"/>
      <c r="F209" s="119"/>
    </row>
    <row r="210" spans="1:6" ht="15" customHeight="1" x14ac:dyDescent="0.3">
      <c r="A210" s="64" t="s">
        <v>94</v>
      </c>
      <c r="B210" s="127" t="s">
        <v>330</v>
      </c>
      <c r="C210" s="60"/>
      <c r="D210" s="218"/>
      <c r="E210" s="80"/>
      <c r="F210" s="119"/>
    </row>
    <row r="211" spans="1:6" s="18" customFormat="1" ht="24.9" customHeight="1" x14ac:dyDescent="0.3">
      <c r="A211" s="66" t="s">
        <v>332</v>
      </c>
      <c r="B211" s="69" t="s">
        <v>709</v>
      </c>
      <c r="C211" s="62" t="s">
        <v>18</v>
      </c>
      <c r="D211" s="70">
        <v>2</v>
      </c>
      <c r="E211" s="383"/>
      <c r="F211" s="591"/>
    </row>
    <row r="212" spans="1:6" ht="15" customHeight="1" thickBot="1" x14ac:dyDescent="0.35">
      <c r="A212" s="65"/>
      <c r="B212" s="113"/>
      <c r="C212" s="60"/>
      <c r="D212" s="218"/>
      <c r="E212" s="80"/>
      <c r="F212" s="591"/>
    </row>
    <row r="213" spans="1:6" ht="15" customHeight="1" thickBot="1" x14ac:dyDescent="0.35">
      <c r="A213" s="821" t="s">
        <v>333</v>
      </c>
      <c r="B213" s="822"/>
      <c r="C213" s="822"/>
      <c r="D213" s="822"/>
      <c r="E213" s="823"/>
      <c r="F213" s="586"/>
    </row>
    <row r="214" spans="1:6" ht="15" customHeight="1" x14ac:dyDescent="0.3">
      <c r="A214" s="65"/>
      <c r="B214" s="113"/>
      <c r="C214" s="60"/>
      <c r="D214" s="218"/>
      <c r="E214" s="80"/>
      <c r="F214" s="119"/>
    </row>
    <row r="215" spans="1:6" ht="15" customHeight="1" x14ac:dyDescent="0.3">
      <c r="A215" s="58" t="s">
        <v>334</v>
      </c>
      <c r="B215" s="99" t="s">
        <v>335</v>
      </c>
      <c r="C215" s="60"/>
      <c r="D215" s="131"/>
      <c r="E215" s="51"/>
      <c r="F215" s="89"/>
    </row>
    <row r="216" spans="1:6" ht="15" customHeight="1" x14ac:dyDescent="0.3">
      <c r="A216" s="65"/>
      <c r="B216" s="113"/>
      <c r="C216" s="60"/>
      <c r="D216" s="218"/>
      <c r="E216" s="80"/>
      <c r="F216" s="119"/>
    </row>
    <row r="217" spans="1:6" ht="15" customHeight="1" x14ac:dyDescent="0.3">
      <c r="A217" s="64" t="s">
        <v>69</v>
      </c>
      <c r="B217" s="111" t="s">
        <v>336</v>
      </c>
      <c r="C217" s="60"/>
      <c r="D217" s="218"/>
      <c r="E217" s="80"/>
      <c r="F217" s="119"/>
    </row>
    <row r="218" spans="1:6" ht="15" customHeight="1" x14ac:dyDescent="0.3">
      <c r="A218" s="64" t="s">
        <v>70</v>
      </c>
      <c r="B218" s="127" t="s">
        <v>337</v>
      </c>
      <c r="C218" s="60"/>
      <c r="D218" s="218"/>
      <c r="E218" s="80"/>
      <c r="F218" s="119"/>
    </row>
    <row r="219" spans="1:6" ht="15" customHeight="1" x14ac:dyDescent="0.3">
      <c r="A219" s="65" t="s">
        <v>342</v>
      </c>
      <c r="B219" s="113" t="s">
        <v>671</v>
      </c>
      <c r="C219" s="163" t="s">
        <v>131</v>
      </c>
      <c r="D219" s="131">
        <f>10.97+8.63+14.68+8.79</f>
        <v>43.07</v>
      </c>
      <c r="E219" s="393"/>
      <c r="F219" s="591"/>
    </row>
    <row r="220" spans="1:6" ht="15" customHeight="1" x14ac:dyDescent="0.3">
      <c r="A220" s="65" t="s">
        <v>343</v>
      </c>
      <c r="B220" s="113" t="s">
        <v>338</v>
      </c>
      <c r="C220" s="163" t="s">
        <v>131</v>
      </c>
      <c r="D220" s="131">
        <f>2*2.4</f>
        <v>4.8</v>
      </c>
      <c r="E220" s="393"/>
      <c r="F220" s="591"/>
    </row>
    <row r="221" spans="1:6" ht="15" customHeight="1" x14ac:dyDescent="0.3">
      <c r="A221" s="65" t="s">
        <v>344</v>
      </c>
      <c r="B221" s="113" t="s">
        <v>339</v>
      </c>
      <c r="C221" s="60" t="s">
        <v>15</v>
      </c>
      <c r="D221" s="131">
        <f>+((13.28-0.9)+(15.14-(2*0.9+0.8))+(17.64-(0.9+0.8))+4.58+(2*1.68)+(0.28*4)+(0.18*6))</f>
        <v>50.999999999999993</v>
      </c>
      <c r="E221" s="393"/>
      <c r="F221" s="591"/>
    </row>
    <row r="222" spans="1:6" ht="15" customHeight="1" x14ac:dyDescent="0.3">
      <c r="A222" s="64" t="s">
        <v>345</v>
      </c>
      <c r="B222" s="111" t="s">
        <v>340</v>
      </c>
      <c r="C222" s="60"/>
      <c r="D222" s="131"/>
      <c r="E222" s="393"/>
      <c r="F222" s="591"/>
    </row>
    <row r="223" spans="1:6" ht="15" customHeight="1" x14ac:dyDescent="0.3">
      <c r="A223" s="64" t="s">
        <v>346</v>
      </c>
      <c r="B223" s="127" t="s">
        <v>341</v>
      </c>
      <c r="C223" s="60"/>
      <c r="D223" s="131"/>
      <c r="E223" s="393"/>
      <c r="F223" s="591"/>
    </row>
    <row r="224" spans="1:6" ht="15" customHeight="1" x14ac:dyDescent="0.3">
      <c r="A224" s="65" t="s">
        <v>347</v>
      </c>
      <c r="B224" s="113" t="s">
        <v>429</v>
      </c>
      <c r="C224" s="163" t="s">
        <v>131</v>
      </c>
      <c r="D224" s="131">
        <f>(6.4-0.8)*2.2*2</f>
        <v>24.640000000000004</v>
      </c>
      <c r="E224" s="393"/>
      <c r="F224" s="591"/>
    </row>
    <row r="225" spans="1:6" ht="15" customHeight="1" thickBot="1" x14ac:dyDescent="0.35">
      <c r="A225" s="65"/>
      <c r="B225" s="113"/>
      <c r="C225" s="60"/>
      <c r="D225" s="218"/>
      <c r="E225" s="80"/>
      <c r="F225" s="119"/>
    </row>
    <row r="226" spans="1:6" ht="15" customHeight="1" thickBot="1" x14ac:dyDescent="0.35">
      <c r="A226" s="821" t="s">
        <v>348</v>
      </c>
      <c r="B226" s="822"/>
      <c r="C226" s="822"/>
      <c r="D226" s="822"/>
      <c r="E226" s="823"/>
      <c r="F226" s="586"/>
    </row>
    <row r="227" spans="1:6" ht="15" customHeight="1" x14ac:dyDescent="0.3">
      <c r="A227" s="65"/>
      <c r="B227" s="113"/>
      <c r="C227" s="60"/>
      <c r="D227" s="218"/>
      <c r="E227" s="80"/>
      <c r="F227" s="119"/>
    </row>
    <row r="228" spans="1:6" ht="15" customHeight="1" x14ac:dyDescent="0.3">
      <c r="A228" s="58" t="s">
        <v>349</v>
      </c>
      <c r="B228" s="99" t="s">
        <v>350</v>
      </c>
      <c r="C228" s="60"/>
      <c r="D228" s="131"/>
      <c r="E228" s="51"/>
      <c r="F228" s="89"/>
    </row>
    <row r="229" spans="1:6" ht="15" customHeight="1" x14ac:dyDescent="0.3">
      <c r="A229" s="65"/>
      <c r="B229" s="113"/>
      <c r="C229" s="60"/>
      <c r="D229" s="218"/>
      <c r="E229" s="80"/>
      <c r="F229" s="119"/>
    </row>
    <row r="230" spans="1:6" ht="15" customHeight="1" x14ac:dyDescent="0.3">
      <c r="A230" s="64" t="s">
        <v>32</v>
      </c>
      <c r="B230" s="111" t="s">
        <v>354</v>
      </c>
      <c r="C230" s="60"/>
      <c r="D230" s="218"/>
      <c r="E230" s="80"/>
      <c r="F230" s="119"/>
    </row>
    <row r="231" spans="1:6" ht="15" customHeight="1" x14ac:dyDescent="0.3">
      <c r="A231" s="64" t="s">
        <v>41</v>
      </c>
      <c r="B231" s="127" t="s">
        <v>355</v>
      </c>
      <c r="C231" s="60"/>
      <c r="D231" s="131"/>
      <c r="E231" s="80"/>
      <c r="F231" s="119"/>
    </row>
    <row r="232" spans="1:6" ht="24.9" customHeight="1" x14ac:dyDescent="0.3">
      <c r="A232" s="66" t="s">
        <v>356</v>
      </c>
      <c r="B232" s="69" t="s">
        <v>426</v>
      </c>
      <c r="C232" s="62" t="s">
        <v>18</v>
      </c>
      <c r="D232" s="70">
        <v>1</v>
      </c>
      <c r="E232" s="383"/>
      <c r="F232" s="591"/>
    </row>
    <row r="233" spans="1:6" ht="24.9" customHeight="1" x14ac:dyDescent="0.3">
      <c r="A233" s="66" t="s">
        <v>357</v>
      </c>
      <c r="B233" s="69" t="s">
        <v>362</v>
      </c>
      <c r="C233" s="62" t="s">
        <v>18</v>
      </c>
      <c r="D233" s="70">
        <f>1+1</f>
        <v>2</v>
      </c>
      <c r="E233" s="383"/>
      <c r="F233" s="591"/>
    </row>
    <row r="234" spans="1:6" ht="24.9" customHeight="1" x14ac:dyDescent="0.3">
      <c r="A234" s="66" t="s">
        <v>427</v>
      </c>
      <c r="B234" s="69" t="s">
        <v>363</v>
      </c>
      <c r="C234" s="60" t="s">
        <v>18</v>
      </c>
      <c r="D234" s="131">
        <f>1+1</f>
        <v>2</v>
      </c>
      <c r="E234" s="393"/>
      <c r="F234" s="591"/>
    </row>
    <row r="235" spans="1:6" ht="15" customHeight="1" x14ac:dyDescent="0.3">
      <c r="A235" s="64" t="s">
        <v>33</v>
      </c>
      <c r="B235" s="127" t="s">
        <v>358</v>
      </c>
      <c r="C235" s="60" t="s">
        <v>6</v>
      </c>
      <c r="D235" s="219"/>
      <c r="E235" s="393"/>
      <c r="F235" s="591"/>
    </row>
    <row r="236" spans="1:6" ht="24.9" customHeight="1" x14ac:dyDescent="0.3">
      <c r="A236" s="66" t="s">
        <v>359</v>
      </c>
      <c r="B236" s="69" t="s">
        <v>353</v>
      </c>
      <c r="C236" s="62" t="s">
        <v>18</v>
      </c>
      <c r="D236" s="70">
        <v>5</v>
      </c>
      <c r="E236" s="383"/>
      <c r="F236" s="591"/>
    </row>
    <row r="237" spans="1:6" ht="24.9" customHeight="1" x14ac:dyDescent="0.3">
      <c r="A237" s="66" t="s">
        <v>360</v>
      </c>
      <c r="B237" s="69" t="s">
        <v>352</v>
      </c>
      <c r="C237" s="62" t="s">
        <v>18</v>
      </c>
      <c r="D237" s="70">
        <v>1</v>
      </c>
      <c r="E237" s="383"/>
      <c r="F237" s="591"/>
    </row>
    <row r="238" spans="1:6" ht="24.9" customHeight="1" x14ac:dyDescent="0.3">
      <c r="A238" s="66" t="s">
        <v>361</v>
      </c>
      <c r="B238" s="69" t="s">
        <v>351</v>
      </c>
      <c r="C238" s="62" t="s">
        <v>18</v>
      </c>
      <c r="D238" s="70">
        <v>2</v>
      </c>
      <c r="E238" s="383"/>
      <c r="F238" s="591"/>
    </row>
    <row r="239" spans="1:6" ht="15" customHeight="1" x14ac:dyDescent="0.3">
      <c r="A239" s="64" t="s">
        <v>34</v>
      </c>
      <c r="B239" s="111" t="s">
        <v>50</v>
      </c>
      <c r="C239" s="60"/>
      <c r="D239" s="131"/>
      <c r="E239" s="393"/>
      <c r="F239" s="591"/>
    </row>
    <row r="240" spans="1:6" s="18" customFormat="1" ht="24.9" customHeight="1" x14ac:dyDescent="0.3">
      <c r="A240" s="66" t="s">
        <v>68</v>
      </c>
      <c r="B240" s="69" t="s">
        <v>364</v>
      </c>
      <c r="C240" s="482" t="s">
        <v>131</v>
      </c>
      <c r="D240" s="70">
        <f>2*2.8</f>
        <v>5.6</v>
      </c>
      <c r="E240" s="383"/>
      <c r="F240" s="591"/>
    </row>
    <row r="241" spans="1:6" ht="15" customHeight="1" thickBot="1" x14ac:dyDescent="0.35">
      <c r="A241" s="700"/>
      <c r="B241" s="717"/>
      <c r="C241" s="718"/>
      <c r="D241" s="719"/>
      <c r="E241" s="207"/>
      <c r="F241" s="115"/>
    </row>
    <row r="242" spans="1:6" ht="15" customHeight="1" thickBot="1" x14ac:dyDescent="0.35">
      <c r="A242" s="821" t="s">
        <v>366</v>
      </c>
      <c r="B242" s="822"/>
      <c r="C242" s="822"/>
      <c r="D242" s="822"/>
      <c r="E242" s="823"/>
      <c r="F242" s="586"/>
    </row>
    <row r="243" spans="1:6" ht="15" customHeight="1" x14ac:dyDescent="0.3">
      <c r="A243" s="54"/>
      <c r="B243" s="111"/>
      <c r="C243" s="60"/>
      <c r="D243" s="218"/>
      <c r="E243" s="80"/>
      <c r="F243" s="112"/>
    </row>
    <row r="244" spans="1:6" ht="15" customHeight="1" x14ac:dyDescent="0.3">
      <c r="A244" s="58" t="s">
        <v>367</v>
      </c>
      <c r="B244" s="99" t="s">
        <v>368</v>
      </c>
      <c r="C244" s="60"/>
      <c r="D244" s="131"/>
      <c r="E244" s="51"/>
      <c r="F244" s="89"/>
    </row>
    <row r="245" spans="1:6" ht="15" customHeight="1" x14ac:dyDescent="0.3">
      <c r="A245" s="54"/>
      <c r="B245" s="111"/>
      <c r="C245" s="60"/>
      <c r="D245" s="218"/>
      <c r="E245" s="80"/>
      <c r="F245" s="112"/>
    </row>
    <row r="246" spans="1:6" ht="15" customHeight="1" x14ac:dyDescent="0.3">
      <c r="A246" s="64" t="s">
        <v>64</v>
      </c>
      <c r="B246" s="111" t="s">
        <v>369</v>
      </c>
      <c r="C246" s="60"/>
      <c r="D246" s="218"/>
      <c r="E246" s="80"/>
      <c r="F246" s="119"/>
    </row>
    <row r="247" spans="1:6" ht="24.9" customHeight="1" x14ac:dyDescent="0.3">
      <c r="A247" s="66" t="s">
        <v>65</v>
      </c>
      <c r="B247" s="69" t="s">
        <v>370</v>
      </c>
      <c r="C247" s="163" t="s">
        <v>131</v>
      </c>
      <c r="D247" s="70">
        <f>+D219</f>
        <v>43.07</v>
      </c>
      <c r="E247" s="383"/>
      <c r="F247" s="591"/>
    </row>
    <row r="248" spans="1:6" ht="15" customHeight="1" x14ac:dyDescent="0.3">
      <c r="A248" s="64" t="s">
        <v>66</v>
      </c>
      <c r="B248" s="111" t="s">
        <v>704</v>
      </c>
      <c r="C248" s="60"/>
      <c r="D248" s="131"/>
      <c r="E248" s="393"/>
      <c r="F248" s="591"/>
    </row>
    <row r="249" spans="1:6" ht="24.9" customHeight="1" x14ac:dyDescent="0.3">
      <c r="A249" s="66" t="s">
        <v>67</v>
      </c>
      <c r="B249" s="69" t="s">
        <v>672</v>
      </c>
      <c r="C249" s="163" t="s">
        <v>131</v>
      </c>
      <c r="D249" s="70">
        <f>(4*5.89+2*6.78)*0.6</f>
        <v>22.271999999999998</v>
      </c>
      <c r="E249" s="383"/>
      <c r="F249" s="591"/>
    </row>
    <row r="250" spans="1:6" ht="15" customHeight="1" thickBot="1" x14ac:dyDescent="0.35">
      <c r="A250" s="64"/>
      <c r="B250" s="111"/>
      <c r="C250" s="60"/>
      <c r="D250" s="218"/>
      <c r="E250" s="80"/>
      <c r="F250" s="119"/>
    </row>
    <row r="251" spans="1:6" ht="15" customHeight="1" thickBot="1" x14ac:dyDescent="0.35">
      <c r="A251" s="821" t="s">
        <v>371</v>
      </c>
      <c r="B251" s="822"/>
      <c r="C251" s="822"/>
      <c r="D251" s="822"/>
      <c r="E251" s="823"/>
      <c r="F251" s="586"/>
    </row>
    <row r="252" spans="1:6" ht="15" customHeight="1" x14ac:dyDescent="0.3">
      <c r="A252" s="64"/>
      <c r="B252" s="111"/>
      <c r="C252" s="60"/>
      <c r="D252" s="218"/>
      <c r="E252" s="80"/>
      <c r="F252" s="119"/>
    </row>
    <row r="253" spans="1:6" ht="15" customHeight="1" x14ac:dyDescent="0.3">
      <c r="A253" s="58" t="s">
        <v>372</v>
      </c>
      <c r="B253" s="99" t="s">
        <v>373</v>
      </c>
      <c r="C253" s="60"/>
      <c r="D253" s="131"/>
      <c r="E253" s="51"/>
      <c r="F253" s="89"/>
    </row>
    <row r="254" spans="1:6" ht="15" customHeight="1" x14ac:dyDescent="0.3">
      <c r="A254" s="64"/>
      <c r="B254" s="111"/>
      <c r="C254" s="60"/>
      <c r="D254" s="218"/>
      <c r="E254" s="80"/>
      <c r="F254" s="119"/>
    </row>
    <row r="255" spans="1:6" ht="15" customHeight="1" x14ac:dyDescent="0.3">
      <c r="A255" s="64" t="s">
        <v>35</v>
      </c>
      <c r="B255" s="111" t="s">
        <v>374</v>
      </c>
      <c r="C255" s="60" t="s">
        <v>6</v>
      </c>
      <c r="D255" s="131"/>
      <c r="E255" s="80"/>
      <c r="F255" s="119"/>
    </row>
    <row r="256" spans="1:6" ht="15" customHeight="1" x14ac:dyDescent="0.3">
      <c r="A256" s="64" t="s">
        <v>56</v>
      </c>
      <c r="B256" s="127" t="s">
        <v>376</v>
      </c>
      <c r="C256" s="60"/>
      <c r="D256" s="131"/>
      <c r="E256" s="80"/>
      <c r="F256" s="119"/>
    </row>
    <row r="257" spans="1:6" ht="15" customHeight="1" x14ac:dyDescent="0.3">
      <c r="A257" s="65" t="s">
        <v>377</v>
      </c>
      <c r="B257" s="113" t="s">
        <v>375</v>
      </c>
      <c r="C257" s="163" t="s">
        <v>131</v>
      </c>
      <c r="D257" s="131">
        <f>+D69+D70</f>
        <v>278.11599999999999</v>
      </c>
      <c r="E257" s="393"/>
      <c r="F257" s="591"/>
    </row>
    <row r="258" spans="1:6" ht="15" customHeight="1" x14ac:dyDescent="0.3">
      <c r="A258" s="64" t="s">
        <v>36</v>
      </c>
      <c r="B258" s="111" t="s">
        <v>378</v>
      </c>
      <c r="C258" s="60"/>
      <c r="D258" s="131"/>
      <c r="E258" s="393"/>
      <c r="F258" s="591"/>
    </row>
    <row r="259" spans="1:6" ht="15" customHeight="1" x14ac:dyDescent="0.3">
      <c r="A259" s="64" t="s">
        <v>59</v>
      </c>
      <c r="B259" s="127" t="s">
        <v>379</v>
      </c>
      <c r="C259" s="60"/>
      <c r="D259" s="131"/>
      <c r="E259" s="393"/>
      <c r="F259" s="591"/>
    </row>
    <row r="260" spans="1:6" ht="15" customHeight="1" x14ac:dyDescent="0.3">
      <c r="A260" s="65" t="s">
        <v>380</v>
      </c>
      <c r="B260" s="113" t="s">
        <v>383</v>
      </c>
      <c r="C260" s="163" t="s">
        <v>131</v>
      </c>
      <c r="D260" s="131">
        <f>+D70+2*6.4*0.6</f>
        <v>187.96600000000001</v>
      </c>
      <c r="E260" s="393"/>
      <c r="F260" s="591"/>
    </row>
    <row r="261" spans="1:6" ht="15" customHeight="1" x14ac:dyDescent="0.3">
      <c r="A261" s="64" t="s">
        <v>60</v>
      </c>
      <c r="B261" s="127" t="s">
        <v>382</v>
      </c>
      <c r="C261" s="60"/>
      <c r="D261" s="131"/>
      <c r="E261" s="393"/>
      <c r="F261" s="591"/>
    </row>
    <row r="262" spans="1:6" ht="15" customHeight="1" x14ac:dyDescent="0.3">
      <c r="A262" s="65" t="s">
        <v>569</v>
      </c>
      <c r="B262" s="113" t="s">
        <v>384</v>
      </c>
      <c r="C262" s="163" t="s">
        <v>131</v>
      </c>
      <c r="D262" s="131">
        <f>+D69</f>
        <v>97.83</v>
      </c>
      <c r="E262" s="393"/>
      <c r="F262" s="591"/>
    </row>
    <row r="263" spans="1:6" ht="15" customHeight="1" x14ac:dyDescent="0.3">
      <c r="A263" s="64" t="s">
        <v>43</v>
      </c>
      <c r="B263" s="111" t="s">
        <v>385</v>
      </c>
      <c r="C263" s="60"/>
      <c r="D263" s="131"/>
      <c r="E263" s="393"/>
      <c r="F263" s="591"/>
    </row>
    <row r="264" spans="1:6" ht="15" customHeight="1" x14ac:dyDescent="0.3">
      <c r="A264" s="64" t="s">
        <v>61</v>
      </c>
      <c r="B264" s="127" t="s">
        <v>431</v>
      </c>
      <c r="C264" s="60"/>
      <c r="D264" s="131"/>
      <c r="E264" s="393"/>
      <c r="F264" s="591"/>
    </row>
    <row r="265" spans="1:6" ht="15" customHeight="1" x14ac:dyDescent="0.3">
      <c r="A265" s="66" t="s">
        <v>390</v>
      </c>
      <c r="B265" s="69" t="s">
        <v>384</v>
      </c>
      <c r="C265" s="163" t="s">
        <v>131</v>
      </c>
      <c r="D265" s="70">
        <f>2.2*2*(1+2*0.9+2*0.8)+2*(0.03*2*1.14)+0.54*4*0.18*2+2*(0.03*5*2.34)+1.14*4*0.18*5+2*(0.03*2.14)+0.94*4*0.18</f>
        <v>25.885600000000004</v>
      </c>
      <c r="E265" s="383"/>
      <c r="F265" s="591"/>
    </row>
    <row r="266" spans="1:6" ht="15" customHeight="1" x14ac:dyDescent="0.3">
      <c r="A266" s="82" t="s">
        <v>62</v>
      </c>
      <c r="B266" s="130" t="s">
        <v>392</v>
      </c>
      <c r="C266" s="62"/>
      <c r="D266" s="70"/>
      <c r="E266" s="383"/>
      <c r="F266" s="591"/>
    </row>
    <row r="267" spans="1:6" ht="15" customHeight="1" x14ac:dyDescent="0.3">
      <c r="A267" s="66" t="s">
        <v>391</v>
      </c>
      <c r="B267" s="69" t="s">
        <v>383</v>
      </c>
      <c r="C267" s="163" t="s">
        <v>131</v>
      </c>
      <c r="D267" s="70">
        <f>+D247+D249+(4*5.89+2*6.78)*0.3</f>
        <v>76.477999999999994</v>
      </c>
      <c r="E267" s="383"/>
      <c r="F267" s="591"/>
    </row>
    <row r="268" spans="1:6" ht="15" customHeight="1" x14ac:dyDescent="0.3">
      <c r="A268" s="64" t="s">
        <v>63</v>
      </c>
      <c r="B268" s="127" t="s">
        <v>388</v>
      </c>
      <c r="C268" s="60"/>
      <c r="D268" s="131"/>
      <c r="E268" s="393"/>
      <c r="F268" s="591"/>
    </row>
    <row r="269" spans="1:6" ht="15" customHeight="1" x14ac:dyDescent="0.3">
      <c r="A269" s="65" t="s">
        <v>394</v>
      </c>
      <c r="B269" s="69" t="s">
        <v>683</v>
      </c>
      <c r="C269" s="163" t="s">
        <v>131</v>
      </c>
      <c r="D269" s="131">
        <f>+D97+D98+D99</f>
        <v>12.759999999999998</v>
      </c>
      <c r="E269" s="393"/>
      <c r="F269" s="591"/>
    </row>
    <row r="270" spans="1:6" ht="15" customHeight="1" x14ac:dyDescent="0.3">
      <c r="A270" s="65" t="s">
        <v>603</v>
      </c>
      <c r="B270" s="69" t="s">
        <v>686</v>
      </c>
      <c r="C270" s="163" t="s">
        <v>131</v>
      </c>
      <c r="D270" s="392">
        <f>+D269</f>
        <v>12.759999999999998</v>
      </c>
      <c r="E270" s="393"/>
      <c r="F270" s="591"/>
    </row>
    <row r="271" spans="1:6" ht="15" customHeight="1" x14ac:dyDescent="0.3">
      <c r="A271" s="396" t="s">
        <v>487</v>
      </c>
      <c r="B271" s="111" t="s">
        <v>232</v>
      </c>
      <c r="C271" s="60"/>
      <c r="D271" s="392"/>
      <c r="E271" s="393"/>
      <c r="F271" s="591"/>
    </row>
    <row r="272" spans="1:6" ht="24.9" customHeight="1" x14ac:dyDescent="0.3">
      <c r="A272" s="410" t="s">
        <v>488</v>
      </c>
      <c r="B272" s="69" t="s">
        <v>713</v>
      </c>
      <c r="C272" s="62" t="s">
        <v>54</v>
      </c>
      <c r="D272" s="387">
        <v>1</v>
      </c>
      <c r="E272" s="383"/>
      <c r="F272" s="591"/>
    </row>
    <row r="273" spans="1:6" ht="15" customHeight="1" thickBot="1" x14ac:dyDescent="0.35">
      <c r="A273" s="77"/>
      <c r="B273" s="81"/>
      <c r="C273" s="139"/>
      <c r="D273" s="206"/>
      <c r="E273" s="207"/>
      <c r="F273" s="121"/>
    </row>
    <row r="274" spans="1:6" ht="15" customHeight="1" thickBot="1" x14ac:dyDescent="0.35">
      <c r="A274" s="821" t="s">
        <v>395</v>
      </c>
      <c r="B274" s="822"/>
      <c r="C274" s="822"/>
      <c r="D274" s="822"/>
      <c r="E274" s="823"/>
      <c r="F274" s="586"/>
    </row>
    <row r="275" spans="1:6" s="19" customFormat="1" ht="15" customHeight="1" x14ac:dyDescent="0.3">
      <c r="A275" s="140"/>
      <c r="B275" s="141"/>
      <c r="C275" s="141"/>
      <c r="D275" s="141"/>
      <c r="E275" s="141"/>
      <c r="F275" s="596"/>
    </row>
    <row r="276" spans="1:6" s="19" customFormat="1" ht="15" customHeight="1" x14ac:dyDescent="0.3">
      <c r="A276" s="58" t="s">
        <v>396</v>
      </c>
      <c r="B276" s="99" t="s">
        <v>397</v>
      </c>
      <c r="C276" s="60"/>
      <c r="D276" s="131"/>
      <c r="E276" s="51"/>
      <c r="F276" s="89"/>
    </row>
    <row r="277" spans="1:6" ht="15" customHeight="1" x14ac:dyDescent="0.3">
      <c r="A277" s="64"/>
      <c r="B277" s="111"/>
      <c r="C277" s="60"/>
      <c r="D277" s="218"/>
      <c r="E277" s="80"/>
      <c r="F277" s="119"/>
    </row>
    <row r="278" spans="1:6" ht="15" customHeight="1" x14ac:dyDescent="0.3">
      <c r="A278" s="64" t="s">
        <v>400</v>
      </c>
      <c r="B278" s="111" t="s">
        <v>398</v>
      </c>
      <c r="C278" s="60" t="s">
        <v>6</v>
      </c>
      <c r="D278" s="131"/>
      <c r="E278" s="80"/>
      <c r="F278" s="119"/>
    </row>
    <row r="279" spans="1:6" ht="15" customHeight="1" x14ac:dyDescent="0.3">
      <c r="A279" s="64" t="s">
        <v>401</v>
      </c>
      <c r="B279" s="127" t="s">
        <v>399</v>
      </c>
      <c r="C279" s="60"/>
      <c r="D279" s="131"/>
      <c r="E279" s="80"/>
      <c r="F279" s="119"/>
    </row>
    <row r="280" spans="1:6" ht="24.9" customHeight="1" x14ac:dyDescent="0.3">
      <c r="A280" s="66" t="s">
        <v>402</v>
      </c>
      <c r="B280" s="69" t="s">
        <v>730</v>
      </c>
      <c r="C280" s="163" t="s">
        <v>137</v>
      </c>
      <c r="D280" s="70">
        <f>0.15*0.1*12*6.78</f>
        <v>1.2203999999999999</v>
      </c>
      <c r="E280" s="383"/>
      <c r="F280" s="591"/>
    </row>
    <row r="281" spans="1:6" ht="24.9" customHeight="1" x14ac:dyDescent="0.3">
      <c r="A281" s="65" t="s">
        <v>403</v>
      </c>
      <c r="B281" s="69" t="s">
        <v>716</v>
      </c>
      <c r="C281" s="62" t="s">
        <v>15</v>
      </c>
      <c r="D281" s="70">
        <f>4*5.89+2*6.78</f>
        <v>37.119999999999997</v>
      </c>
      <c r="E281" s="383"/>
      <c r="F281" s="591"/>
    </row>
    <row r="282" spans="1:6" ht="15" customHeight="1" thickBot="1" x14ac:dyDescent="0.35">
      <c r="A282" s="68"/>
      <c r="B282" s="132"/>
      <c r="C282" s="142"/>
      <c r="D282" s="221"/>
      <c r="E282" s="222"/>
      <c r="F282" s="143"/>
    </row>
    <row r="283" spans="1:6" ht="15" customHeight="1" thickBot="1" x14ac:dyDescent="0.35">
      <c r="A283" s="821" t="s">
        <v>404</v>
      </c>
      <c r="B283" s="822"/>
      <c r="C283" s="822"/>
      <c r="D283" s="822"/>
      <c r="E283" s="823"/>
      <c r="F283" s="586"/>
    </row>
    <row r="284" spans="1:6" ht="15" customHeight="1" x14ac:dyDescent="0.3">
      <c r="A284" s="140"/>
      <c r="B284" s="141"/>
      <c r="C284" s="141"/>
      <c r="D284" s="141"/>
      <c r="E284" s="141"/>
      <c r="F284" s="118"/>
    </row>
    <row r="285" spans="1:6" ht="15" customHeight="1" x14ac:dyDescent="0.3">
      <c r="A285" s="58" t="s">
        <v>405</v>
      </c>
      <c r="B285" s="99" t="s">
        <v>408</v>
      </c>
      <c r="C285" s="60"/>
      <c r="D285" s="131"/>
      <c r="E285" s="615"/>
      <c r="F285" s="614"/>
    </row>
    <row r="286" spans="1:6" ht="15" customHeight="1" x14ac:dyDescent="0.3">
      <c r="A286" s="64"/>
      <c r="B286" s="111"/>
      <c r="C286" s="60"/>
      <c r="D286" s="218"/>
      <c r="E286" s="80"/>
      <c r="F286" s="119"/>
    </row>
    <row r="287" spans="1:6" ht="15" customHeight="1" x14ac:dyDescent="0.3">
      <c r="A287" s="64" t="s">
        <v>46</v>
      </c>
      <c r="B287" s="111" t="s">
        <v>409</v>
      </c>
      <c r="C287" s="60" t="s">
        <v>6</v>
      </c>
      <c r="D287" s="131"/>
      <c r="E287" s="80"/>
      <c r="F287" s="119"/>
    </row>
    <row r="288" spans="1:6" ht="15" customHeight="1" x14ac:dyDescent="0.3">
      <c r="A288" s="64" t="s">
        <v>55</v>
      </c>
      <c r="B288" s="127" t="s">
        <v>538</v>
      </c>
      <c r="C288" s="60"/>
      <c r="D288" s="131"/>
      <c r="E288" s="80"/>
      <c r="F288" s="119"/>
    </row>
    <row r="289" spans="1:6" ht="15" customHeight="1" x14ac:dyDescent="0.3">
      <c r="A289" s="66" t="s">
        <v>406</v>
      </c>
      <c r="B289" s="69" t="s">
        <v>433</v>
      </c>
      <c r="C289" s="163" t="s">
        <v>131</v>
      </c>
      <c r="D289" s="70">
        <f>2*(6.1*6.78)</f>
        <v>82.715999999999994</v>
      </c>
      <c r="E289" s="383"/>
      <c r="F289" s="591"/>
    </row>
    <row r="290" spans="1:6" ht="15" customHeight="1" x14ac:dyDescent="0.3">
      <c r="A290" s="65" t="s">
        <v>407</v>
      </c>
      <c r="B290" s="69" t="s">
        <v>434</v>
      </c>
      <c r="C290" s="62" t="s">
        <v>15</v>
      </c>
      <c r="D290" s="70">
        <v>6.78</v>
      </c>
      <c r="E290" s="383"/>
      <c r="F290" s="591"/>
    </row>
    <row r="291" spans="1:6" ht="15" customHeight="1" thickBot="1" x14ac:dyDescent="0.35">
      <c r="A291" s="68"/>
      <c r="B291" s="132"/>
      <c r="C291" s="142"/>
      <c r="D291" s="221"/>
      <c r="E291" s="222"/>
      <c r="F291" s="143"/>
    </row>
    <row r="292" spans="1:6" ht="15" customHeight="1" thickBot="1" x14ac:dyDescent="0.35">
      <c r="A292" s="821" t="s">
        <v>410</v>
      </c>
      <c r="B292" s="822"/>
      <c r="C292" s="822"/>
      <c r="D292" s="822"/>
      <c r="E292" s="823"/>
      <c r="F292" s="586"/>
    </row>
    <row r="293" spans="1:6" ht="15" customHeight="1" thickBot="1" x14ac:dyDescent="0.35">
      <c r="A293" s="703"/>
      <c r="B293" s="720"/>
      <c r="C293" s="67"/>
      <c r="D293" s="721"/>
      <c r="E293" s="722"/>
      <c r="F293" s="723"/>
    </row>
    <row r="294" spans="1:6" ht="24.9" customHeight="1" thickTop="1" thickBot="1" x14ac:dyDescent="0.35">
      <c r="A294" s="902" t="s">
        <v>689</v>
      </c>
      <c r="B294" s="903"/>
      <c r="C294" s="903"/>
      <c r="D294" s="904"/>
      <c r="E294" s="905"/>
      <c r="F294" s="906"/>
    </row>
    <row r="295" spans="1:6" ht="15" customHeight="1" thickTop="1" x14ac:dyDescent="0.3">
      <c r="A295" s="53"/>
      <c r="B295" s="45"/>
      <c r="C295" s="45"/>
      <c r="D295" s="45"/>
      <c r="E295" s="45"/>
      <c r="F295" s="45"/>
    </row>
    <row r="296" spans="1:6" ht="15" customHeight="1" x14ac:dyDescent="0.3">
      <c r="A296" s="53"/>
      <c r="B296" s="45"/>
      <c r="C296" s="45"/>
      <c r="D296" s="45"/>
      <c r="E296" s="45"/>
      <c r="F296" s="45"/>
    </row>
    <row r="297" spans="1:6" ht="15" customHeight="1" x14ac:dyDescent="0.3">
      <c r="A297" s="53"/>
      <c r="B297" s="45"/>
      <c r="C297" s="45"/>
      <c r="D297" s="45"/>
      <c r="E297" s="45"/>
      <c r="F297" s="45"/>
    </row>
    <row r="298" spans="1:6" ht="24.9" customHeight="1" x14ac:dyDescent="0.3">
      <c r="A298" s="53"/>
      <c r="B298" s="45"/>
      <c r="C298" s="45"/>
      <c r="D298" s="45"/>
      <c r="E298" s="45"/>
      <c r="F298" s="45"/>
    </row>
    <row r="299" spans="1:6" s="613" customFormat="1" ht="24.9" customHeight="1" x14ac:dyDescent="0.3">
      <c r="A299" s="53"/>
      <c r="B299" s="45"/>
      <c r="C299" s="45"/>
      <c r="D299" s="45"/>
      <c r="E299" s="45"/>
      <c r="F299" s="45"/>
    </row>
    <row r="300" spans="1:6" ht="15" customHeight="1" x14ac:dyDescent="0.3">
      <c r="A300" s="53"/>
      <c r="B300" s="45"/>
      <c r="C300" s="45"/>
      <c r="D300" s="45"/>
      <c r="E300" s="45"/>
      <c r="F300" s="45"/>
    </row>
    <row r="301" spans="1:6" s="613" customFormat="1" ht="15" customHeight="1" x14ac:dyDescent="0.3">
      <c r="A301" s="53"/>
      <c r="B301" s="45"/>
      <c r="C301" s="45"/>
      <c r="D301" s="45"/>
      <c r="E301" s="45"/>
      <c r="F301" s="45"/>
    </row>
    <row r="302" spans="1:6" s="613" customFormat="1" ht="15" customHeight="1" x14ac:dyDescent="0.3">
      <c r="A302" s="53"/>
      <c r="B302" s="45"/>
      <c r="C302" s="45"/>
      <c r="D302" s="45"/>
      <c r="E302" s="45"/>
      <c r="F302" s="45"/>
    </row>
    <row r="303" spans="1:6" s="613" customFormat="1" ht="15" customHeight="1" thickBot="1" x14ac:dyDescent="0.35">
      <c r="A303" s="53"/>
      <c r="B303" s="45"/>
      <c r="C303" s="45"/>
      <c r="D303" s="45"/>
      <c r="E303" s="45"/>
      <c r="F303" s="45"/>
    </row>
    <row r="304" spans="1:6" ht="30" customHeight="1" x14ac:dyDescent="0.3">
      <c r="A304" s="775" t="s">
        <v>700</v>
      </c>
      <c r="B304" s="776"/>
      <c r="C304" s="776"/>
      <c r="D304" s="776"/>
      <c r="E304" s="776"/>
      <c r="F304" s="777"/>
    </row>
    <row r="305" spans="1:6" ht="15" customHeight="1" thickBot="1" x14ac:dyDescent="0.35">
      <c r="A305" s="149"/>
      <c r="B305" s="150"/>
      <c r="C305" s="150"/>
      <c r="D305" s="150"/>
      <c r="E305" s="150"/>
      <c r="F305" s="151"/>
    </row>
    <row r="306" spans="1:6" ht="24.9" customHeight="1" thickTop="1" thickBot="1" x14ac:dyDescent="0.35">
      <c r="A306" s="153" t="s">
        <v>38</v>
      </c>
      <c r="B306" s="887" t="s">
        <v>39</v>
      </c>
      <c r="C306" s="888"/>
      <c r="D306" s="889"/>
      <c r="E306" s="887" t="s">
        <v>411</v>
      </c>
      <c r="F306" s="890"/>
    </row>
    <row r="307" spans="1:6" ht="15" customHeight="1" thickTop="1" x14ac:dyDescent="0.3">
      <c r="A307" s="152"/>
      <c r="B307" s="894"/>
      <c r="C307" s="895"/>
      <c r="D307" s="896"/>
      <c r="E307" s="897"/>
      <c r="F307" s="898"/>
    </row>
    <row r="308" spans="1:6" ht="15" customHeight="1" x14ac:dyDescent="0.3">
      <c r="A308" s="224" t="s">
        <v>143</v>
      </c>
      <c r="B308" s="899" t="s">
        <v>95</v>
      </c>
      <c r="C308" s="900"/>
      <c r="D308" s="901"/>
      <c r="E308" s="795"/>
      <c r="F308" s="796"/>
    </row>
    <row r="309" spans="1:6" ht="15" customHeight="1" x14ac:dyDescent="0.3">
      <c r="A309" s="225" t="s">
        <v>144</v>
      </c>
      <c r="B309" s="891" t="s">
        <v>100</v>
      </c>
      <c r="C309" s="892"/>
      <c r="D309" s="893"/>
      <c r="E309" s="795"/>
      <c r="F309" s="796"/>
    </row>
    <row r="310" spans="1:6" ht="15" customHeight="1" x14ac:dyDescent="0.3">
      <c r="A310" s="226" t="s">
        <v>136</v>
      </c>
      <c r="B310" s="792" t="s">
        <v>103</v>
      </c>
      <c r="C310" s="793"/>
      <c r="D310" s="794"/>
      <c r="E310" s="795"/>
      <c r="F310" s="796"/>
    </row>
    <row r="311" spans="1:6" ht="15" customHeight="1" x14ac:dyDescent="0.3">
      <c r="A311" s="226" t="s">
        <v>176</v>
      </c>
      <c r="B311" s="792" t="s">
        <v>177</v>
      </c>
      <c r="C311" s="793"/>
      <c r="D311" s="794"/>
      <c r="E311" s="795"/>
      <c r="F311" s="796"/>
    </row>
    <row r="312" spans="1:6" ht="15" customHeight="1" x14ac:dyDescent="0.3">
      <c r="A312" s="226" t="s">
        <v>182</v>
      </c>
      <c r="B312" s="792" t="s">
        <v>656</v>
      </c>
      <c r="C312" s="793"/>
      <c r="D312" s="794"/>
      <c r="E312" s="795"/>
      <c r="F312" s="796"/>
    </row>
    <row r="313" spans="1:6" ht="15" customHeight="1" x14ac:dyDescent="0.3">
      <c r="A313" s="226" t="s">
        <v>183</v>
      </c>
      <c r="B313" s="792" t="s">
        <v>184</v>
      </c>
      <c r="C313" s="793"/>
      <c r="D313" s="794"/>
      <c r="E313" s="795"/>
      <c r="F313" s="796"/>
    </row>
    <row r="314" spans="1:6" ht="15" customHeight="1" x14ac:dyDescent="0.3">
      <c r="A314" s="226" t="s">
        <v>195</v>
      </c>
      <c r="B314" s="792" t="s">
        <v>196</v>
      </c>
      <c r="C314" s="793"/>
      <c r="D314" s="794"/>
      <c r="E314" s="795"/>
      <c r="F314" s="796"/>
    </row>
    <row r="315" spans="1:6" ht="15" customHeight="1" x14ac:dyDescent="0.3">
      <c r="A315" s="226" t="s">
        <v>226</v>
      </c>
      <c r="B315" s="792" t="s">
        <v>227</v>
      </c>
      <c r="C315" s="793"/>
      <c r="D315" s="794"/>
      <c r="E315" s="795"/>
      <c r="F315" s="796"/>
    </row>
    <row r="316" spans="1:6" ht="15" customHeight="1" x14ac:dyDescent="0.3">
      <c r="A316" s="226" t="s">
        <v>249</v>
      </c>
      <c r="B316" s="792" t="s">
        <v>250</v>
      </c>
      <c r="C316" s="793"/>
      <c r="D316" s="794"/>
      <c r="E316" s="795"/>
      <c r="F316" s="796"/>
    </row>
    <row r="317" spans="1:6" ht="15" customHeight="1" x14ac:dyDescent="0.3">
      <c r="A317" s="226" t="s">
        <v>292</v>
      </c>
      <c r="B317" s="792" t="s">
        <v>293</v>
      </c>
      <c r="C317" s="793"/>
      <c r="D317" s="794"/>
      <c r="E317" s="795"/>
      <c r="F317" s="796"/>
    </row>
    <row r="318" spans="1:6" ht="15" customHeight="1" x14ac:dyDescent="0.3">
      <c r="A318" s="226" t="s">
        <v>309</v>
      </c>
      <c r="B318" s="792" t="s">
        <v>310</v>
      </c>
      <c r="C318" s="793"/>
      <c r="D318" s="794"/>
      <c r="E318" s="795"/>
      <c r="F318" s="796"/>
    </row>
    <row r="319" spans="1:6" ht="15" customHeight="1" x14ac:dyDescent="0.3">
      <c r="A319" s="226" t="s">
        <v>327</v>
      </c>
      <c r="B319" s="792" t="s">
        <v>328</v>
      </c>
      <c r="C319" s="793"/>
      <c r="D319" s="794"/>
      <c r="E319" s="795"/>
      <c r="F319" s="796"/>
    </row>
    <row r="320" spans="1:6" ht="15" customHeight="1" x14ac:dyDescent="0.3">
      <c r="A320" s="226" t="s">
        <v>334</v>
      </c>
      <c r="B320" s="792" t="s">
        <v>335</v>
      </c>
      <c r="C320" s="793"/>
      <c r="D320" s="794"/>
      <c r="E320" s="795"/>
      <c r="F320" s="796"/>
    </row>
    <row r="321" spans="1:6" ht="15" customHeight="1" x14ac:dyDescent="0.3">
      <c r="A321" s="226" t="s">
        <v>349</v>
      </c>
      <c r="B321" s="792" t="s">
        <v>350</v>
      </c>
      <c r="C321" s="793"/>
      <c r="D321" s="794"/>
      <c r="E321" s="795"/>
      <c r="F321" s="796"/>
    </row>
    <row r="322" spans="1:6" ht="15" customHeight="1" x14ac:dyDescent="0.3">
      <c r="A322" s="226" t="s">
        <v>367</v>
      </c>
      <c r="B322" s="792" t="s">
        <v>368</v>
      </c>
      <c r="C322" s="793"/>
      <c r="D322" s="794"/>
      <c r="E322" s="795"/>
      <c r="F322" s="796"/>
    </row>
    <row r="323" spans="1:6" ht="15" customHeight="1" x14ac:dyDescent="0.3">
      <c r="A323" s="226" t="s">
        <v>372</v>
      </c>
      <c r="B323" s="792" t="s">
        <v>373</v>
      </c>
      <c r="C323" s="793"/>
      <c r="D323" s="794"/>
      <c r="E323" s="795"/>
      <c r="F323" s="796"/>
    </row>
    <row r="324" spans="1:6" ht="15" customHeight="1" x14ac:dyDescent="0.3">
      <c r="A324" s="226" t="s">
        <v>396</v>
      </c>
      <c r="B324" s="792" t="s">
        <v>397</v>
      </c>
      <c r="C324" s="793"/>
      <c r="D324" s="794"/>
      <c r="E324" s="795"/>
      <c r="F324" s="796"/>
    </row>
    <row r="325" spans="1:6" ht="15" customHeight="1" x14ac:dyDescent="0.3">
      <c r="A325" s="226" t="s">
        <v>405</v>
      </c>
      <c r="B325" s="792" t="s">
        <v>408</v>
      </c>
      <c r="C325" s="793"/>
      <c r="D325" s="794"/>
      <c r="E325" s="795"/>
      <c r="F325" s="796"/>
    </row>
    <row r="326" spans="1:6" ht="15" customHeight="1" thickBot="1" x14ac:dyDescent="0.35">
      <c r="A326" s="159"/>
      <c r="B326" s="797"/>
      <c r="C326" s="798"/>
      <c r="D326" s="799"/>
      <c r="E326" s="790"/>
      <c r="F326" s="791"/>
    </row>
    <row r="327" spans="1:6" ht="24.9" customHeight="1" thickTop="1" thickBot="1" x14ac:dyDescent="0.35">
      <c r="A327" s="782" t="s">
        <v>689</v>
      </c>
      <c r="B327" s="783"/>
      <c r="C327" s="783"/>
      <c r="D327" s="784"/>
      <c r="E327" s="785"/>
      <c r="F327" s="786"/>
    </row>
    <row r="328" spans="1:6" ht="15" customHeight="1" thickTop="1" x14ac:dyDescent="0.3"/>
  </sheetData>
  <mergeCells count="69">
    <mergeCell ref="B324:D324"/>
    <mergeCell ref="E324:F324"/>
    <mergeCell ref="E325:F325"/>
    <mergeCell ref="B325:D325"/>
    <mergeCell ref="B321:D321"/>
    <mergeCell ref="E321:F321"/>
    <mergeCell ref="B322:D322"/>
    <mergeCell ref="E322:F322"/>
    <mergeCell ref="B323:D323"/>
    <mergeCell ref="E323:F323"/>
    <mergeCell ref="B318:D318"/>
    <mergeCell ref="E318:F318"/>
    <mergeCell ref="B319:D319"/>
    <mergeCell ref="E319:F319"/>
    <mergeCell ref="B320:D320"/>
    <mergeCell ref="E320:F320"/>
    <mergeCell ref="B315:D315"/>
    <mergeCell ref="E315:F315"/>
    <mergeCell ref="B316:D316"/>
    <mergeCell ref="E316:F316"/>
    <mergeCell ref="B317:D317"/>
    <mergeCell ref="E317:F317"/>
    <mergeCell ref="A129:E129"/>
    <mergeCell ref="B309:D309"/>
    <mergeCell ref="E309:F309"/>
    <mergeCell ref="B307:D307"/>
    <mergeCell ref="E307:F307"/>
    <mergeCell ref="B308:D308"/>
    <mergeCell ref="E308:F308"/>
    <mergeCell ref="A292:E292"/>
    <mergeCell ref="A294:D294"/>
    <mergeCell ref="E294:F294"/>
    <mergeCell ref="A145:E145"/>
    <mergeCell ref="A179:E179"/>
    <mergeCell ref="A191:E191"/>
    <mergeCell ref="A205:E205"/>
    <mergeCell ref="A213:E213"/>
    <mergeCell ref="A226:E226"/>
    <mergeCell ref="A75:E75"/>
    <mergeCell ref="A77:E77"/>
    <mergeCell ref="A85:E85"/>
    <mergeCell ref="A92:E92"/>
    <mergeCell ref="A101:E101"/>
    <mergeCell ref="A2:F2"/>
    <mergeCell ref="A3:F3"/>
    <mergeCell ref="A13:E13"/>
    <mergeCell ref="A27:E27"/>
    <mergeCell ref="A50:E50"/>
    <mergeCell ref="A242:E242"/>
    <mergeCell ref="A251:E251"/>
    <mergeCell ref="A274:E274"/>
    <mergeCell ref="A283:E283"/>
    <mergeCell ref="A304:F304"/>
    <mergeCell ref="B326:D326"/>
    <mergeCell ref="E326:F326"/>
    <mergeCell ref="A327:D327"/>
    <mergeCell ref="E327:F327"/>
    <mergeCell ref="B306:D306"/>
    <mergeCell ref="E306:F306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14:D314"/>
    <mergeCell ref="E314:F314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328"/>
  <sheetViews>
    <sheetView topLeftCell="A312" workbookViewId="0">
      <selection activeCell="E308" sqref="E308:F327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766" t="s">
        <v>550</v>
      </c>
      <c r="B2" s="766"/>
      <c r="C2" s="766"/>
      <c r="D2" s="766"/>
      <c r="E2" s="766"/>
      <c r="F2" s="766"/>
    </row>
    <row r="3" spans="1:6" ht="15.6" x14ac:dyDescent="0.3">
      <c r="A3" s="766" t="s">
        <v>494</v>
      </c>
      <c r="B3" s="766"/>
      <c r="C3" s="766"/>
      <c r="D3" s="766"/>
      <c r="E3" s="766"/>
      <c r="F3" s="766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ht="15" customHeight="1" x14ac:dyDescent="0.3">
      <c r="A9" s="42" t="s">
        <v>96</v>
      </c>
      <c r="B9" s="91" t="s">
        <v>88</v>
      </c>
      <c r="C9" s="50"/>
      <c r="D9" s="92"/>
      <c r="E9" s="51"/>
      <c r="F9" s="93"/>
    </row>
    <row r="10" spans="1:6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584"/>
      <c r="F10" s="585"/>
    </row>
    <row r="11" spans="1:6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584"/>
      <c r="F11" s="585"/>
    </row>
    <row r="12" spans="1:6" ht="15" customHeight="1" thickBot="1" x14ac:dyDescent="0.35">
      <c r="A12" s="42"/>
      <c r="B12" s="95"/>
      <c r="C12" s="50"/>
      <c r="D12" s="92"/>
      <c r="E12" s="587"/>
      <c r="F12" s="585"/>
    </row>
    <row r="13" spans="1:6" ht="15" customHeight="1" thickBot="1" x14ac:dyDescent="0.35">
      <c r="A13" s="767" t="s">
        <v>189</v>
      </c>
      <c r="B13" s="768"/>
      <c r="C13" s="768"/>
      <c r="D13" s="768"/>
      <c r="E13" s="768"/>
      <c r="F13" s="586"/>
    </row>
    <row r="14" spans="1:6" ht="15" customHeight="1" x14ac:dyDescent="0.3">
      <c r="A14" s="42"/>
      <c r="B14" s="95"/>
      <c r="C14" s="50"/>
      <c r="D14" s="92"/>
      <c r="E14" s="51"/>
      <c r="F14" s="93"/>
    </row>
    <row r="15" spans="1:6" ht="15" customHeight="1" x14ac:dyDescent="0.3">
      <c r="A15" s="57" t="s">
        <v>144</v>
      </c>
      <c r="B15" s="96" t="s">
        <v>100</v>
      </c>
      <c r="C15" s="50"/>
      <c r="D15" s="164"/>
      <c r="E15" s="51"/>
      <c r="F15" s="93"/>
    </row>
    <row r="16" spans="1:6" s="730" customFormat="1" ht="15" customHeight="1" x14ac:dyDescent="0.3">
      <c r="A16" s="42"/>
      <c r="B16" s="729"/>
      <c r="C16" s="50"/>
      <c r="D16" s="164"/>
      <c r="E16" s="51"/>
      <c r="F16" s="93"/>
    </row>
    <row r="17" spans="1:6" s="613" customFormat="1" ht="15" customHeight="1" x14ac:dyDescent="0.3">
      <c r="A17" s="42" t="s">
        <v>101</v>
      </c>
      <c r="B17" s="97" t="s">
        <v>540</v>
      </c>
      <c r="C17" s="50"/>
      <c r="D17" s="164"/>
      <c r="E17" s="51"/>
      <c r="F17" s="93"/>
    </row>
    <row r="18" spans="1:6" s="613" customFormat="1" ht="15" customHeight="1" x14ac:dyDescent="0.3">
      <c r="A18" s="481" t="s">
        <v>102</v>
      </c>
      <c r="B18" s="94" t="s">
        <v>544</v>
      </c>
      <c r="C18" s="161" t="s">
        <v>412</v>
      </c>
      <c r="D18" s="164">
        <f>15.74*11</f>
        <v>173.14000000000001</v>
      </c>
      <c r="E18" s="602"/>
      <c r="F18" s="603"/>
    </row>
    <row r="19" spans="1:6" s="613" customFormat="1" ht="15" customHeight="1" x14ac:dyDescent="0.3">
      <c r="A19" s="481" t="s">
        <v>543</v>
      </c>
      <c r="B19" s="94" t="s">
        <v>652</v>
      </c>
      <c r="C19" s="161" t="s">
        <v>412</v>
      </c>
      <c r="D19" s="164">
        <v>64.41</v>
      </c>
      <c r="E19" s="602"/>
      <c r="F19" s="603"/>
    </row>
    <row r="20" spans="1:6" s="479" customFormat="1" ht="15" customHeight="1" x14ac:dyDescent="0.3">
      <c r="A20" s="44" t="s">
        <v>105</v>
      </c>
      <c r="B20" s="97" t="s">
        <v>110</v>
      </c>
      <c r="C20" s="162"/>
      <c r="D20" s="164"/>
      <c r="E20" s="51"/>
      <c r="F20" s="93"/>
    </row>
    <row r="21" spans="1:6" s="479" customFormat="1" ht="15" customHeight="1" x14ac:dyDescent="0.3">
      <c r="A21" s="43" t="s">
        <v>109</v>
      </c>
      <c r="B21" s="94" t="s">
        <v>106</v>
      </c>
      <c r="C21" s="161" t="s">
        <v>413</v>
      </c>
      <c r="D21" s="164">
        <f>+(6*4+1.1*2+4.06+3.18*2+2.68*2+0.78+3.72+3.18)*0.8</f>
        <v>39.728000000000002</v>
      </c>
      <c r="E21" s="602"/>
      <c r="F21" s="585"/>
    </row>
    <row r="22" spans="1:6" s="479" customFormat="1" ht="15" customHeight="1" x14ac:dyDescent="0.3">
      <c r="A22" s="44" t="s">
        <v>546</v>
      </c>
      <c r="B22" s="97" t="s">
        <v>111</v>
      </c>
      <c r="C22" s="162"/>
      <c r="D22" s="164"/>
      <c r="E22" s="602"/>
      <c r="F22" s="585"/>
    </row>
    <row r="23" spans="1:6" ht="15" customHeight="1" x14ac:dyDescent="0.3">
      <c r="A23" s="43" t="s">
        <v>547</v>
      </c>
      <c r="B23" s="94" t="s">
        <v>107</v>
      </c>
      <c r="C23" s="161" t="s">
        <v>413</v>
      </c>
      <c r="D23" s="164">
        <f>+D21-49.66*0.3</f>
        <v>24.830000000000005</v>
      </c>
      <c r="E23" s="602"/>
      <c r="F23" s="585"/>
    </row>
    <row r="24" spans="1:6" ht="15" customHeight="1" x14ac:dyDescent="0.3">
      <c r="A24" s="43" t="s">
        <v>548</v>
      </c>
      <c r="B24" s="94" t="s">
        <v>112</v>
      </c>
      <c r="C24" s="161" t="s">
        <v>413</v>
      </c>
      <c r="D24" s="164">
        <f>57.08*0.3</f>
        <v>17.123999999999999</v>
      </c>
      <c r="E24" s="602"/>
      <c r="F24" s="585"/>
    </row>
    <row r="25" spans="1:6" ht="15" customHeight="1" x14ac:dyDescent="0.3">
      <c r="A25" s="43" t="s">
        <v>549</v>
      </c>
      <c r="B25" s="94" t="s">
        <v>108</v>
      </c>
      <c r="C25" s="161" t="s">
        <v>412</v>
      </c>
      <c r="D25" s="164">
        <v>57.08</v>
      </c>
      <c r="E25" s="602"/>
      <c r="F25" s="585"/>
    </row>
    <row r="26" spans="1:6" ht="15" customHeight="1" thickBot="1" x14ac:dyDescent="0.35">
      <c r="A26" s="43"/>
      <c r="B26" s="94"/>
      <c r="C26" s="50"/>
      <c r="D26" s="164"/>
      <c r="E26" s="51"/>
      <c r="F26" s="93"/>
    </row>
    <row r="27" spans="1:6" ht="15" customHeight="1" thickBot="1" x14ac:dyDescent="0.35">
      <c r="A27" s="767" t="s">
        <v>190</v>
      </c>
      <c r="B27" s="768"/>
      <c r="C27" s="768"/>
      <c r="D27" s="768"/>
      <c r="E27" s="768"/>
      <c r="F27" s="586"/>
    </row>
    <row r="28" spans="1:6" ht="15" customHeight="1" x14ac:dyDescent="0.3">
      <c r="A28" s="42"/>
      <c r="B28" s="95"/>
      <c r="C28" s="50"/>
      <c r="D28" s="92"/>
      <c r="E28" s="51"/>
      <c r="F28" s="89"/>
    </row>
    <row r="29" spans="1:6" ht="15" customHeight="1" x14ac:dyDescent="0.3">
      <c r="A29" s="58" t="s">
        <v>136</v>
      </c>
      <c r="B29" s="99" t="s">
        <v>103</v>
      </c>
      <c r="C29" s="60"/>
      <c r="D29" s="131"/>
      <c r="E29" s="51"/>
      <c r="F29" s="89"/>
    </row>
    <row r="30" spans="1:6" ht="15" customHeight="1" x14ac:dyDescent="0.3">
      <c r="A30" s="54"/>
      <c r="B30" s="687"/>
      <c r="C30" s="60"/>
      <c r="D30" s="131"/>
      <c r="E30" s="51"/>
      <c r="F30" s="89"/>
    </row>
    <row r="31" spans="1:6" ht="15" customHeight="1" x14ac:dyDescent="0.3">
      <c r="A31" s="147" t="s">
        <v>4</v>
      </c>
      <c r="B31" s="175" t="s">
        <v>113</v>
      </c>
      <c r="C31" s="176"/>
      <c r="D31" s="177"/>
      <c r="E31" s="178"/>
      <c r="F31" s="101"/>
    </row>
    <row r="32" spans="1:6" ht="15" customHeight="1" x14ac:dyDescent="0.3">
      <c r="A32" s="147" t="s">
        <v>5</v>
      </c>
      <c r="B32" s="179" t="s">
        <v>114</v>
      </c>
      <c r="C32" s="163" t="s">
        <v>137</v>
      </c>
      <c r="D32" s="180">
        <f>49.66*0.05*0.6</f>
        <v>1.4898</v>
      </c>
      <c r="E32" s="181"/>
      <c r="F32" s="106"/>
    </row>
    <row r="33" spans="1:6" ht="15" customHeight="1" x14ac:dyDescent="0.3">
      <c r="A33" s="147" t="s">
        <v>9</v>
      </c>
      <c r="B33" s="179" t="s">
        <v>121</v>
      </c>
      <c r="C33" s="163"/>
      <c r="D33" s="182"/>
      <c r="E33" s="181"/>
      <c r="F33" s="106"/>
    </row>
    <row r="34" spans="1:6" ht="15" customHeight="1" x14ac:dyDescent="0.3">
      <c r="A34" s="148" t="s">
        <v>115</v>
      </c>
      <c r="B34" s="183" t="s">
        <v>138</v>
      </c>
      <c r="C34" s="163" t="s">
        <v>137</v>
      </c>
      <c r="D34" s="180">
        <f>49.66*0.25*0.6</f>
        <v>7.448999999999999</v>
      </c>
      <c r="E34" s="181"/>
      <c r="F34" s="106"/>
    </row>
    <row r="35" spans="1:6" ht="15" customHeight="1" x14ac:dyDescent="0.3">
      <c r="A35" s="148" t="s">
        <v>116</v>
      </c>
      <c r="B35" s="183" t="s">
        <v>657</v>
      </c>
      <c r="C35" s="163" t="s">
        <v>117</v>
      </c>
      <c r="D35" s="180">
        <f>4*49.66*0.394+249*0.76*0.222</f>
        <v>120.27544</v>
      </c>
      <c r="E35" s="181"/>
      <c r="F35" s="106"/>
    </row>
    <row r="36" spans="1:6" ht="15" customHeight="1" x14ac:dyDescent="0.3">
      <c r="A36" s="147" t="s">
        <v>120</v>
      </c>
      <c r="B36" s="179" t="s">
        <v>416</v>
      </c>
      <c r="C36" s="163"/>
      <c r="D36" s="180"/>
      <c r="E36" s="181"/>
      <c r="F36" s="106"/>
    </row>
    <row r="37" spans="1:6" ht="15" customHeight="1" x14ac:dyDescent="0.3">
      <c r="A37" s="148" t="s">
        <v>122</v>
      </c>
      <c r="B37" s="183" t="s">
        <v>138</v>
      </c>
      <c r="C37" s="163" t="s">
        <v>137</v>
      </c>
      <c r="D37" s="180">
        <f>0.8*(12*0.15*0.15+3*0.3*0.15+0.25*0.15+0.3*0.15+0.15*0.15)</f>
        <v>0.40799999999999992</v>
      </c>
      <c r="E37" s="181"/>
      <c r="F37" s="106"/>
    </row>
    <row r="38" spans="1:6" ht="15" customHeight="1" x14ac:dyDescent="0.3">
      <c r="A38" s="148" t="s">
        <v>123</v>
      </c>
      <c r="B38" s="183" t="s">
        <v>657</v>
      </c>
      <c r="C38" s="163" t="s">
        <v>117</v>
      </c>
      <c r="D38" s="184">
        <f>0.8*(12*4*0.616+3*(4*0.616+2*0.394)+4*0.616+2*0.394+6*0.616+2*0.394)</f>
        <v>37.647999999999989</v>
      </c>
      <c r="E38" s="181"/>
      <c r="F38" s="106"/>
    </row>
    <row r="39" spans="1:6" ht="15" customHeight="1" x14ac:dyDescent="0.3">
      <c r="A39" s="148" t="s">
        <v>124</v>
      </c>
      <c r="B39" s="183" t="s">
        <v>118</v>
      </c>
      <c r="C39" s="163" t="s">
        <v>119</v>
      </c>
      <c r="D39" s="180">
        <f>0.8*(23*0.15+3*0.3+2*0.25)*1.1</f>
        <v>4.2679999999999998</v>
      </c>
      <c r="E39" s="181"/>
      <c r="F39" s="106"/>
    </row>
    <row r="40" spans="1:6" ht="15" customHeight="1" x14ac:dyDescent="0.3">
      <c r="A40" s="147" t="s">
        <v>125</v>
      </c>
      <c r="B40" s="179" t="s">
        <v>133</v>
      </c>
      <c r="C40" s="185"/>
      <c r="D40" s="185"/>
      <c r="E40" s="185"/>
      <c r="F40" s="106"/>
    </row>
    <row r="41" spans="1:6" ht="15" customHeight="1" x14ac:dyDescent="0.3">
      <c r="A41" s="148" t="s">
        <v>126</v>
      </c>
      <c r="B41" s="183" t="s">
        <v>139</v>
      </c>
      <c r="C41" s="163" t="s">
        <v>131</v>
      </c>
      <c r="D41" s="180">
        <f>49.66*0.6*1.1</f>
        <v>32.775599999999997</v>
      </c>
      <c r="E41" s="181"/>
      <c r="F41" s="106"/>
    </row>
    <row r="42" spans="1:6" ht="15" customHeight="1" x14ac:dyDescent="0.3">
      <c r="A42" s="147" t="s">
        <v>127</v>
      </c>
      <c r="B42" s="179" t="s">
        <v>140</v>
      </c>
      <c r="C42" s="163"/>
      <c r="D42" s="180"/>
      <c r="E42" s="181"/>
      <c r="F42" s="106"/>
    </row>
    <row r="43" spans="1:6" ht="15" customHeight="1" x14ac:dyDescent="0.3">
      <c r="A43" s="148" t="s">
        <v>128</v>
      </c>
      <c r="B43" s="183" t="s">
        <v>141</v>
      </c>
      <c r="C43" s="163" t="s">
        <v>131</v>
      </c>
      <c r="D43" s="180">
        <v>57.08</v>
      </c>
      <c r="E43" s="181"/>
      <c r="F43" s="106"/>
    </row>
    <row r="44" spans="1:6" ht="15" customHeight="1" x14ac:dyDescent="0.3">
      <c r="A44" s="148" t="s">
        <v>129</v>
      </c>
      <c r="B44" s="183" t="s">
        <v>135</v>
      </c>
      <c r="C44" s="163" t="s">
        <v>131</v>
      </c>
      <c r="D44" s="180">
        <f>+D43</f>
        <v>57.08</v>
      </c>
      <c r="E44" s="181"/>
      <c r="F44" s="106"/>
    </row>
    <row r="45" spans="1:6" ht="15" customHeight="1" x14ac:dyDescent="0.3">
      <c r="A45" s="148" t="s">
        <v>130</v>
      </c>
      <c r="B45" s="183" t="s">
        <v>118</v>
      </c>
      <c r="C45" s="163" t="s">
        <v>131</v>
      </c>
      <c r="D45" s="180">
        <f>49.66*0.2</f>
        <v>9.9320000000000004</v>
      </c>
      <c r="E45" s="181"/>
      <c r="F45" s="106"/>
    </row>
    <row r="46" spans="1:6" ht="15" customHeight="1" x14ac:dyDescent="0.3">
      <c r="A46" s="147" t="s">
        <v>132</v>
      </c>
      <c r="B46" s="179" t="s">
        <v>179</v>
      </c>
      <c r="C46" s="163"/>
      <c r="D46" s="180"/>
      <c r="E46" s="181"/>
      <c r="F46" s="106"/>
    </row>
    <row r="47" spans="1:6" ht="15" customHeight="1" x14ac:dyDescent="0.3">
      <c r="A47" s="148" t="s">
        <v>134</v>
      </c>
      <c r="B47" s="183" t="s">
        <v>180</v>
      </c>
      <c r="C47" s="163" t="s">
        <v>131</v>
      </c>
      <c r="D47" s="180">
        <f>57.08-(2.5+2.5)</f>
        <v>52.08</v>
      </c>
      <c r="E47" s="181"/>
      <c r="F47" s="106"/>
    </row>
    <row r="48" spans="1:6" ht="15" customHeight="1" x14ac:dyDescent="0.3">
      <c r="A48" s="148" t="s">
        <v>660</v>
      </c>
      <c r="B48" s="183" t="s">
        <v>662</v>
      </c>
      <c r="C48" s="163" t="s">
        <v>131</v>
      </c>
      <c r="D48" s="180">
        <f>2.5*2</f>
        <v>5</v>
      </c>
      <c r="E48" s="181"/>
      <c r="F48" s="106"/>
    </row>
    <row r="49" spans="1:6" ht="15" customHeight="1" thickBot="1" x14ac:dyDescent="0.35">
      <c r="A49" s="188"/>
      <c r="B49" s="103"/>
      <c r="C49" s="189"/>
      <c r="D49" s="190"/>
      <c r="E49" s="181"/>
      <c r="F49" s="102"/>
    </row>
    <row r="50" spans="1:6" ht="15" customHeight="1" thickBot="1" x14ac:dyDescent="0.35">
      <c r="A50" s="767" t="s">
        <v>146</v>
      </c>
      <c r="B50" s="768"/>
      <c r="C50" s="768"/>
      <c r="D50" s="768"/>
      <c r="E50" s="768"/>
      <c r="F50" s="609"/>
    </row>
    <row r="51" spans="1:6" ht="15" customHeight="1" x14ac:dyDescent="0.3">
      <c r="A51" s="54"/>
      <c r="B51" s="687"/>
      <c r="C51" s="60"/>
      <c r="D51" s="131"/>
      <c r="E51" s="51"/>
      <c r="F51" s="89"/>
    </row>
    <row r="52" spans="1:6" ht="15" customHeight="1" x14ac:dyDescent="0.3">
      <c r="A52" s="147" t="s">
        <v>10</v>
      </c>
      <c r="B52" s="175" t="s">
        <v>167</v>
      </c>
      <c r="C52" s="176"/>
      <c r="D52" s="191"/>
      <c r="E52" s="192"/>
      <c r="F52" s="104"/>
    </row>
    <row r="53" spans="1:6" ht="15" customHeight="1" x14ac:dyDescent="0.3">
      <c r="A53" s="147" t="s">
        <v>11</v>
      </c>
      <c r="B53" s="179" t="s">
        <v>168</v>
      </c>
      <c r="C53" s="176"/>
      <c r="D53" s="191"/>
      <c r="E53" s="192"/>
      <c r="F53" s="104"/>
    </row>
    <row r="54" spans="1:6" ht="15" customHeight="1" x14ac:dyDescent="0.3">
      <c r="A54" s="148" t="s">
        <v>147</v>
      </c>
      <c r="B54" s="183" t="s">
        <v>138</v>
      </c>
      <c r="C54" s="163" t="s">
        <v>137</v>
      </c>
      <c r="D54" s="182">
        <f>3*0.3*0.15*3+3*(0.15*0.15+0.15*0.1)*3.38+(0.25*0.15+3*0.15*0.15)*4.11+(3*0.15*0.15+0.3*0.15)*3.9+3*(4*0.15*0.15+2*0.15*0.1)+(3.74+4.11+3.6+3.32+3.61+3.9+3.52*2)*0.15*0.1</f>
        <v>2.4553499999999997</v>
      </c>
      <c r="E54" s="187"/>
      <c r="F54" s="105"/>
    </row>
    <row r="55" spans="1:6" ht="15" customHeight="1" x14ac:dyDescent="0.3">
      <c r="A55" s="148" t="s">
        <v>148</v>
      </c>
      <c r="B55" s="183" t="s">
        <v>658</v>
      </c>
      <c r="C55" s="163" t="s">
        <v>84</v>
      </c>
      <c r="D55" s="193">
        <v>248.49</v>
      </c>
      <c r="E55" s="187"/>
      <c r="F55" s="105"/>
    </row>
    <row r="56" spans="1:6" ht="15" customHeight="1" x14ac:dyDescent="0.3">
      <c r="A56" s="148" t="s">
        <v>149</v>
      </c>
      <c r="B56" s="183" t="s">
        <v>118</v>
      </c>
      <c r="C56" s="163" t="s">
        <v>131</v>
      </c>
      <c r="D56" s="182">
        <v>25.62</v>
      </c>
      <c r="E56" s="187"/>
      <c r="F56" s="105"/>
    </row>
    <row r="57" spans="1:6" ht="15" customHeight="1" x14ac:dyDescent="0.3">
      <c r="A57" s="147" t="s">
        <v>12</v>
      </c>
      <c r="B57" s="179" t="s">
        <v>169</v>
      </c>
      <c r="C57" s="163"/>
      <c r="D57" s="182"/>
      <c r="E57" s="187"/>
      <c r="F57" s="105"/>
    </row>
    <row r="58" spans="1:6" ht="15" customHeight="1" x14ac:dyDescent="0.3">
      <c r="A58" s="148" t="s">
        <v>150</v>
      </c>
      <c r="B58" s="183" t="s">
        <v>138</v>
      </c>
      <c r="C58" s="163" t="s">
        <v>137</v>
      </c>
      <c r="D58" s="182">
        <f>49.66*0.2*0.15+5.36*0.2*0.1</f>
        <v>1.597</v>
      </c>
      <c r="E58" s="187"/>
      <c r="F58" s="105"/>
    </row>
    <row r="59" spans="1:6" ht="15" customHeight="1" x14ac:dyDescent="0.3">
      <c r="A59" s="148" t="s">
        <v>151</v>
      </c>
      <c r="B59" s="183" t="s">
        <v>658</v>
      </c>
      <c r="C59" s="163" t="s">
        <v>84</v>
      </c>
      <c r="D59" s="193">
        <v>115.51</v>
      </c>
      <c r="E59" s="187"/>
      <c r="F59" s="105"/>
    </row>
    <row r="60" spans="1:6" ht="15" customHeight="1" x14ac:dyDescent="0.3">
      <c r="A60" s="148" t="s">
        <v>152</v>
      </c>
      <c r="B60" s="183" t="s">
        <v>118</v>
      </c>
      <c r="C60" s="163" t="s">
        <v>131</v>
      </c>
      <c r="D60" s="182">
        <f>+(49.66+5.36)*2*0.2*1.1</f>
        <v>24.2088</v>
      </c>
      <c r="E60" s="187"/>
      <c r="F60" s="105"/>
    </row>
    <row r="61" spans="1:6" ht="15" customHeight="1" x14ac:dyDescent="0.3">
      <c r="A61" s="147" t="s">
        <v>13</v>
      </c>
      <c r="B61" s="179" t="s">
        <v>663</v>
      </c>
      <c r="C61" s="163"/>
      <c r="D61" s="182"/>
      <c r="E61" s="187"/>
      <c r="F61" s="105"/>
    </row>
    <row r="62" spans="1:6" ht="15" customHeight="1" x14ac:dyDescent="0.3">
      <c r="A62" s="148" t="s">
        <v>153</v>
      </c>
      <c r="B62" s="194" t="s">
        <v>138</v>
      </c>
      <c r="C62" s="163" t="s">
        <v>137</v>
      </c>
      <c r="D62" s="182">
        <f>1.68*0.4</f>
        <v>0.67200000000000004</v>
      </c>
      <c r="E62" s="187"/>
      <c r="F62" s="105"/>
    </row>
    <row r="63" spans="1:6" ht="15" customHeight="1" x14ac:dyDescent="0.3">
      <c r="A63" s="148" t="s">
        <v>154</v>
      </c>
      <c r="B63" s="194" t="s">
        <v>658</v>
      </c>
      <c r="C63" s="163" t="s">
        <v>84</v>
      </c>
      <c r="D63" s="193">
        <f>+D62*60</f>
        <v>40.32</v>
      </c>
      <c r="E63" s="187"/>
      <c r="F63" s="105"/>
    </row>
    <row r="64" spans="1:6" ht="15" customHeight="1" x14ac:dyDescent="0.3">
      <c r="A64" s="148" t="s">
        <v>155</v>
      </c>
      <c r="B64" s="194" t="s">
        <v>118</v>
      </c>
      <c r="C64" s="163" t="s">
        <v>131</v>
      </c>
      <c r="D64" s="182">
        <f>0.15*0.35*2+1.68*0.15</f>
        <v>0.35699999999999998</v>
      </c>
      <c r="E64" s="187"/>
      <c r="F64" s="105"/>
    </row>
    <row r="65" spans="1:6" ht="15" customHeight="1" x14ac:dyDescent="0.3">
      <c r="A65" s="147" t="s">
        <v>156</v>
      </c>
      <c r="B65" s="179" t="s">
        <v>164</v>
      </c>
      <c r="C65" s="163"/>
      <c r="D65" s="182"/>
      <c r="E65" s="187"/>
      <c r="F65" s="105"/>
    </row>
    <row r="66" spans="1:6" ht="15" customHeight="1" x14ac:dyDescent="0.3">
      <c r="A66" s="148" t="s">
        <v>157</v>
      </c>
      <c r="B66" s="183" t="s">
        <v>165</v>
      </c>
      <c r="C66" s="163" t="s">
        <v>131</v>
      </c>
      <c r="D66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6" s="195"/>
      <c r="F66" s="105"/>
    </row>
    <row r="67" spans="1:6" ht="15" customHeight="1" x14ac:dyDescent="0.3">
      <c r="A67" s="148" t="s">
        <v>158</v>
      </c>
      <c r="B67" s="183" t="s">
        <v>166</v>
      </c>
      <c r="C67" s="163" t="s">
        <v>131</v>
      </c>
      <c r="D67" s="180">
        <f>+(2.13+0.73+2.4)*3-(2*0.7*2.2)</f>
        <v>12.7</v>
      </c>
      <c r="E67" s="181"/>
      <c r="F67" s="105"/>
    </row>
    <row r="68" spans="1:6" ht="15" customHeight="1" x14ac:dyDescent="0.3">
      <c r="A68" s="147" t="s">
        <v>159</v>
      </c>
      <c r="B68" s="179" t="s">
        <v>173</v>
      </c>
      <c r="C68" s="163"/>
      <c r="D68" s="180"/>
      <c r="E68" s="181"/>
      <c r="F68" s="105"/>
    </row>
    <row r="69" spans="1:6" ht="15" customHeight="1" x14ac:dyDescent="0.3">
      <c r="A69" s="148" t="s">
        <v>160</v>
      </c>
      <c r="B69" s="183" t="s">
        <v>673</v>
      </c>
      <c r="C69" s="163" t="s">
        <v>131</v>
      </c>
      <c r="D69" s="180">
        <f>+((36.87-(2*1.44+0.95+3.31))+(17.19-0.36)+(36.87-(2*1.44+3.31+0.36))+2*(17.19-2*6.8))+17.19-(0.9*2.2+1.44)</f>
        <v>97.83</v>
      </c>
      <c r="E69" s="181"/>
      <c r="F69" s="105"/>
    </row>
    <row r="70" spans="1:6" ht="15" customHeight="1" x14ac:dyDescent="0.3">
      <c r="A70" s="148" t="s">
        <v>161</v>
      </c>
      <c r="B70" s="183" t="s">
        <v>174</v>
      </c>
      <c r="C70" s="163" t="s">
        <v>131</v>
      </c>
      <c r="D70" s="180">
        <f>97.83-2*(17.19-(2*6.8))+2*((13.03-1.98)+(3.72*4.15)+(20.31-1.98))</f>
        <v>180.286</v>
      </c>
      <c r="E70" s="181"/>
      <c r="F70" s="105"/>
    </row>
    <row r="71" spans="1:6" s="18" customFormat="1" ht="24.9" customHeight="1" x14ac:dyDescent="0.3">
      <c r="A71" s="483" t="s">
        <v>170</v>
      </c>
      <c r="B71" s="183" t="s">
        <v>702</v>
      </c>
      <c r="C71" s="482" t="s">
        <v>131</v>
      </c>
      <c r="D71" s="484">
        <f>2*(6.4*3-1.76)</f>
        <v>34.880000000000003</v>
      </c>
      <c r="E71" s="485"/>
      <c r="F71" s="724"/>
    </row>
    <row r="72" spans="1:6" ht="15" customHeight="1" x14ac:dyDescent="0.3">
      <c r="A72" s="147" t="s">
        <v>162</v>
      </c>
      <c r="B72" s="179" t="s">
        <v>171</v>
      </c>
      <c r="C72" s="163"/>
      <c r="D72" s="180"/>
      <c r="E72" s="181"/>
      <c r="F72" s="105"/>
    </row>
    <row r="73" spans="1:6" ht="15" customHeight="1" x14ac:dyDescent="0.3">
      <c r="A73" s="148" t="s">
        <v>163</v>
      </c>
      <c r="B73" s="183" t="s">
        <v>172</v>
      </c>
      <c r="C73" s="163" t="s">
        <v>131</v>
      </c>
      <c r="D73" s="180">
        <v>1.2</v>
      </c>
      <c r="E73" s="181"/>
      <c r="F73" s="105"/>
    </row>
    <row r="74" spans="1:6" ht="15" customHeight="1" thickBot="1" x14ac:dyDescent="0.35">
      <c r="A74" s="196"/>
      <c r="B74" s="197"/>
      <c r="C74" s="198"/>
      <c r="D74" s="199"/>
      <c r="E74" s="200"/>
      <c r="F74" s="107"/>
    </row>
    <row r="75" spans="1:6" ht="15" customHeight="1" thickBot="1" x14ac:dyDescent="0.35">
      <c r="A75" s="767" t="s">
        <v>175</v>
      </c>
      <c r="B75" s="768"/>
      <c r="C75" s="768"/>
      <c r="D75" s="768"/>
      <c r="E75" s="768"/>
      <c r="F75" s="609"/>
    </row>
    <row r="76" spans="1:6" ht="15" customHeight="1" thickBot="1" x14ac:dyDescent="0.35">
      <c r="A76" s="688"/>
      <c r="B76" s="689"/>
      <c r="C76" s="690"/>
      <c r="D76" s="691"/>
      <c r="E76" s="692"/>
      <c r="F76" s="693"/>
    </row>
    <row r="77" spans="1:6" ht="15" customHeight="1" thickBot="1" x14ac:dyDescent="0.35">
      <c r="A77" s="767" t="s">
        <v>191</v>
      </c>
      <c r="B77" s="768"/>
      <c r="C77" s="768"/>
      <c r="D77" s="768"/>
      <c r="E77" s="768"/>
      <c r="F77" s="586"/>
    </row>
    <row r="78" spans="1:6" ht="15" customHeight="1" x14ac:dyDescent="0.3">
      <c r="A78" s="694"/>
      <c r="B78" s="695"/>
      <c r="C78" s="696"/>
      <c r="D78" s="697"/>
      <c r="E78" s="698"/>
      <c r="F78" s="699"/>
    </row>
    <row r="79" spans="1:6" ht="15" customHeight="1" x14ac:dyDescent="0.3">
      <c r="A79" s="58" t="s">
        <v>176</v>
      </c>
      <c r="B79" s="99" t="s">
        <v>177</v>
      </c>
      <c r="C79" s="60"/>
      <c r="D79" s="131"/>
      <c r="E79" s="51"/>
      <c r="F79" s="89"/>
    </row>
    <row r="80" spans="1:6" ht="15" customHeight="1" x14ac:dyDescent="0.3">
      <c r="A80" s="54"/>
      <c r="B80" s="167"/>
      <c r="C80" s="60"/>
      <c r="D80" s="131"/>
      <c r="E80" s="51"/>
      <c r="F80" s="89"/>
    </row>
    <row r="81" spans="1:6" ht="15" customHeight="1" x14ac:dyDescent="0.3">
      <c r="A81" s="54" t="s">
        <v>53</v>
      </c>
      <c r="B81" s="111" t="s">
        <v>732</v>
      </c>
      <c r="C81" s="60"/>
      <c r="D81" s="131"/>
      <c r="E81" s="80"/>
      <c r="F81" s="112"/>
    </row>
    <row r="82" spans="1:6" ht="24.9" customHeight="1" x14ac:dyDescent="0.3">
      <c r="A82" s="61" t="s">
        <v>82</v>
      </c>
      <c r="B82" s="69" t="s">
        <v>181</v>
      </c>
      <c r="C82" s="163" t="s">
        <v>131</v>
      </c>
      <c r="D82" s="70">
        <f>2*2.4</f>
        <v>4.8</v>
      </c>
      <c r="E82" s="393"/>
      <c r="F82" s="588"/>
    </row>
    <row r="83" spans="1:6" ht="15" customHeight="1" x14ac:dyDescent="0.3">
      <c r="A83" s="61" t="s">
        <v>178</v>
      </c>
      <c r="B83" s="113" t="s">
        <v>717</v>
      </c>
      <c r="C83" s="60" t="s">
        <v>15</v>
      </c>
      <c r="D83" s="131">
        <f>2*(6.4-0.8)</f>
        <v>11.200000000000001</v>
      </c>
      <c r="E83" s="393"/>
      <c r="F83" s="588"/>
    </row>
    <row r="84" spans="1:6" ht="15" customHeight="1" thickBot="1" x14ac:dyDescent="0.35">
      <c r="A84" s="76"/>
      <c r="B84" s="114"/>
      <c r="C84" s="63"/>
      <c r="D84" s="206"/>
      <c r="E84" s="207"/>
      <c r="F84" s="115"/>
    </row>
    <row r="85" spans="1:6" ht="15" customHeight="1" thickBot="1" x14ac:dyDescent="0.35">
      <c r="A85" s="767" t="s">
        <v>192</v>
      </c>
      <c r="B85" s="768"/>
      <c r="C85" s="768"/>
      <c r="D85" s="768"/>
      <c r="E85" s="768"/>
      <c r="F85" s="589"/>
    </row>
    <row r="86" spans="1:6" ht="15" customHeight="1" x14ac:dyDescent="0.3">
      <c r="A86" s="116"/>
      <c r="B86" s="117"/>
      <c r="C86" s="117"/>
      <c r="D86" s="117"/>
      <c r="E86" s="117"/>
      <c r="F86" s="118"/>
    </row>
    <row r="87" spans="1:6" ht="15" customHeight="1" x14ac:dyDescent="0.3">
      <c r="A87" s="58" t="s">
        <v>182</v>
      </c>
      <c r="B87" s="99" t="s">
        <v>656</v>
      </c>
      <c r="C87" s="60"/>
      <c r="D87" s="131"/>
      <c r="E87" s="51"/>
      <c r="F87" s="89"/>
    </row>
    <row r="88" spans="1:6" ht="15" customHeight="1" x14ac:dyDescent="0.3">
      <c r="A88" s="54"/>
      <c r="B88" s="167"/>
      <c r="C88" s="60"/>
      <c r="D88" s="131"/>
      <c r="E88" s="51"/>
      <c r="F88" s="89"/>
    </row>
    <row r="89" spans="1:6" ht="15" customHeight="1" x14ac:dyDescent="0.3">
      <c r="A89" s="64" t="s">
        <v>186</v>
      </c>
      <c r="B89" s="111" t="s">
        <v>188</v>
      </c>
      <c r="C89" s="60"/>
      <c r="D89" s="131"/>
      <c r="E89" s="80"/>
      <c r="F89" s="119"/>
    </row>
    <row r="90" spans="1:6" ht="15" customHeight="1" x14ac:dyDescent="0.3">
      <c r="A90" s="65" t="s">
        <v>187</v>
      </c>
      <c r="B90" s="69" t="s">
        <v>675</v>
      </c>
      <c r="C90" s="60" t="s">
        <v>15</v>
      </c>
      <c r="D90" s="131">
        <f>14*1*5+14*0.8+0.6*2*4</f>
        <v>86</v>
      </c>
      <c r="E90" s="393"/>
      <c r="F90" s="591"/>
    </row>
    <row r="91" spans="1:6" ht="15" customHeight="1" thickBot="1" x14ac:dyDescent="0.35">
      <c r="A91" s="700"/>
      <c r="B91" s="114"/>
      <c r="C91" s="63"/>
      <c r="D91" s="206"/>
      <c r="E91" s="207"/>
      <c r="F91" s="115"/>
    </row>
    <row r="92" spans="1:6" ht="15" customHeight="1" thickBot="1" x14ac:dyDescent="0.35">
      <c r="A92" s="767" t="s">
        <v>194</v>
      </c>
      <c r="B92" s="768"/>
      <c r="C92" s="768"/>
      <c r="D92" s="768"/>
      <c r="E92" s="768"/>
      <c r="F92" s="589"/>
    </row>
    <row r="93" spans="1:6" ht="15" customHeight="1" x14ac:dyDescent="0.3">
      <c r="A93" s="701"/>
      <c r="B93" s="397"/>
      <c r="C93" s="397"/>
      <c r="D93" s="397"/>
      <c r="E93" s="397"/>
      <c r="F93" s="702"/>
    </row>
    <row r="94" spans="1:6" ht="15" customHeight="1" x14ac:dyDescent="0.3">
      <c r="A94" s="58" t="s">
        <v>183</v>
      </c>
      <c r="B94" s="99" t="s">
        <v>184</v>
      </c>
      <c r="C94" s="60"/>
      <c r="D94" s="131"/>
      <c r="E94" s="51"/>
      <c r="F94" s="89"/>
    </row>
    <row r="95" spans="1:6" ht="15" customHeight="1" x14ac:dyDescent="0.3">
      <c r="A95" s="54"/>
      <c r="B95" s="167"/>
      <c r="C95" s="60"/>
      <c r="D95" s="131"/>
      <c r="E95" s="51"/>
      <c r="F95" s="89"/>
    </row>
    <row r="96" spans="1:6" ht="15" customHeight="1" x14ac:dyDescent="0.3">
      <c r="A96" s="64" t="s">
        <v>16</v>
      </c>
      <c r="B96" s="111" t="s">
        <v>185</v>
      </c>
      <c r="C96" s="60"/>
      <c r="D96" s="131"/>
      <c r="E96" s="80"/>
      <c r="F96" s="112"/>
    </row>
    <row r="97" spans="1:6" ht="15" customHeight="1" x14ac:dyDescent="0.3">
      <c r="A97" s="65" t="s">
        <v>17</v>
      </c>
      <c r="B97" s="69" t="s">
        <v>419</v>
      </c>
      <c r="C97" s="163" t="s">
        <v>131</v>
      </c>
      <c r="D97" s="131">
        <f>5*1.4*1.4</f>
        <v>9.7999999999999989</v>
      </c>
      <c r="E97" s="393"/>
      <c r="F97" s="591"/>
    </row>
    <row r="98" spans="1:6" ht="15" customHeight="1" x14ac:dyDescent="0.3">
      <c r="A98" s="65" t="s">
        <v>19</v>
      </c>
      <c r="B98" s="69" t="s">
        <v>420</v>
      </c>
      <c r="C98" s="163" t="s">
        <v>131</v>
      </c>
      <c r="D98" s="131">
        <f>1.2*1.4</f>
        <v>1.68</v>
      </c>
      <c r="E98" s="393"/>
      <c r="F98" s="591"/>
    </row>
    <row r="99" spans="1:6" ht="15" customHeight="1" x14ac:dyDescent="0.3">
      <c r="A99" s="65" t="s">
        <v>365</v>
      </c>
      <c r="B99" s="69" t="s">
        <v>421</v>
      </c>
      <c r="C99" s="163" t="s">
        <v>131</v>
      </c>
      <c r="D99" s="131">
        <f>0.8*0.8*2</f>
        <v>1.2800000000000002</v>
      </c>
      <c r="E99" s="393"/>
      <c r="F99" s="591"/>
    </row>
    <row r="100" spans="1:6" ht="15" customHeight="1" thickBot="1" x14ac:dyDescent="0.35">
      <c r="A100" s="77"/>
      <c r="B100" s="114"/>
      <c r="C100" s="63"/>
      <c r="D100" s="206"/>
      <c r="E100" s="207"/>
      <c r="F100" s="121"/>
    </row>
    <row r="101" spans="1:6" ht="15" customHeight="1" thickBot="1" x14ac:dyDescent="0.35">
      <c r="A101" s="767" t="s">
        <v>193</v>
      </c>
      <c r="B101" s="768"/>
      <c r="C101" s="768"/>
      <c r="D101" s="768"/>
      <c r="E101" s="768"/>
      <c r="F101" s="589"/>
    </row>
    <row r="102" spans="1:6" ht="15" customHeight="1" x14ac:dyDescent="0.3">
      <c r="A102" s="703"/>
      <c r="B102" s="704"/>
      <c r="C102" s="705"/>
      <c r="D102" s="706"/>
      <c r="E102" s="707"/>
      <c r="F102" s="693"/>
    </row>
    <row r="103" spans="1:6" ht="15" customHeight="1" x14ac:dyDescent="0.3">
      <c r="A103" s="58" t="s">
        <v>195</v>
      </c>
      <c r="B103" s="99" t="s">
        <v>196</v>
      </c>
      <c r="C103" s="60"/>
      <c r="D103" s="131"/>
      <c r="E103" s="51"/>
      <c r="F103" s="89"/>
    </row>
    <row r="104" spans="1:6" ht="15" customHeight="1" x14ac:dyDescent="0.3">
      <c r="A104" s="54"/>
      <c r="B104" s="123"/>
      <c r="C104" s="60"/>
      <c r="D104" s="131"/>
      <c r="E104" s="80"/>
      <c r="F104" s="112"/>
    </row>
    <row r="105" spans="1:6" ht="15" customHeight="1" x14ac:dyDescent="0.3">
      <c r="A105" s="64" t="s">
        <v>20</v>
      </c>
      <c r="B105" s="123" t="s">
        <v>76</v>
      </c>
      <c r="C105" s="60"/>
      <c r="D105" s="131"/>
      <c r="E105" s="80"/>
      <c r="F105" s="119"/>
    </row>
    <row r="106" spans="1:6" ht="15" customHeight="1" x14ac:dyDescent="0.3">
      <c r="A106" s="64" t="s">
        <v>21</v>
      </c>
      <c r="B106" s="124" t="s">
        <v>199</v>
      </c>
      <c r="C106" s="60"/>
      <c r="D106" s="131"/>
      <c r="E106" s="80"/>
      <c r="F106" s="119"/>
    </row>
    <row r="107" spans="1:6" ht="15" customHeight="1" x14ac:dyDescent="0.3">
      <c r="A107" s="65" t="s">
        <v>201</v>
      </c>
      <c r="B107" s="125" t="s">
        <v>197</v>
      </c>
      <c r="C107" s="60" t="s">
        <v>15</v>
      </c>
      <c r="D107" s="131">
        <f>+(3.64+4.03+4.72)*1.2</f>
        <v>14.868</v>
      </c>
      <c r="E107" s="393"/>
      <c r="F107" s="591"/>
    </row>
    <row r="108" spans="1:6" ht="24.9" customHeight="1" x14ac:dyDescent="0.3">
      <c r="A108" s="65" t="s">
        <v>202</v>
      </c>
      <c r="B108" s="69" t="s">
        <v>240</v>
      </c>
      <c r="C108" s="60" t="s">
        <v>15</v>
      </c>
      <c r="D108" s="131">
        <f>+D107</f>
        <v>14.868</v>
      </c>
      <c r="E108" s="393"/>
      <c r="F108" s="591"/>
    </row>
    <row r="109" spans="1:6" ht="15" customHeight="1" x14ac:dyDescent="0.3">
      <c r="A109" s="64" t="s">
        <v>203</v>
      </c>
      <c r="B109" s="124" t="s">
        <v>200</v>
      </c>
      <c r="C109" s="60"/>
      <c r="D109" s="131"/>
      <c r="E109" s="80"/>
      <c r="F109" s="591"/>
    </row>
    <row r="110" spans="1:6" ht="24.9" customHeight="1" x14ac:dyDescent="0.3">
      <c r="A110" s="66" t="s">
        <v>204</v>
      </c>
      <c r="B110" s="69" t="s">
        <v>238</v>
      </c>
      <c r="C110" s="62" t="s">
        <v>15</v>
      </c>
      <c r="D110" s="70">
        <f>+(0.33+1.84+0.8*2+1.5+0.41)*1.1</f>
        <v>6.2480000000000002</v>
      </c>
      <c r="E110" s="383"/>
      <c r="F110" s="591"/>
    </row>
    <row r="111" spans="1:6" ht="15" customHeight="1" x14ac:dyDescent="0.3">
      <c r="A111" s="64" t="s">
        <v>22</v>
      </c>
      <c r="B111" s="123" t="s">
        <v>198</v>
      </c>
      <c r="C111" s="60"/>
      <c r="D111" s="131"/>
      <c r="E111" s="393"/>
      <c r="F111" s="591"/>
    </row>
    <row r="112" spans="1:6" ht="15" customHeight="1" x14ac:dyDescent="0.3">
      <c r="A112" s="64" t="s">
        <v>77</v>
      </c>
      <c r="B112" s="124" t="s">
        <v>205</v>
      </c>
      <c r="C112" s="60"/>
      <c r="D112" s="131"/>
      <c r="E112" s="393"/>
      <c r="F112" s="591"/>
    </row>
    <row r="113" spans="1:6" ht="15" customHeight="1" x14ac:dyDescent="0.3">
      <c r="A113" s="65" t="s">
        <v>208</v>
      </c>
      <c r="B113" s="125" t="s">
        <v>206</v>
      </c>
      <c r="C113" s="60" t="s">
        <v>15</v>
      </c>
      <c r="D113" s="131">
        <f>(2*0.8+2.3+1.05)*1.2</f>
        <v>5.94</v>
      </c>
      <c r="E113" s="393"/>
      <c r="F113" s="591"/>
    </row>
    <row r="114" spans="1:6" ht="15" customHeight="1" x14ac:dyDescent="0.3">
      <c r="A114" s="65" t="s">
        <v>209</v>
      </c>
      <c r="B114" s="113" t="s">
        <v>207</v>
      </c>
      <c r="C114" s="60" t="s">
        <v>15</v>
      </c>
      <c r="D114" s="131">
        <f>(1.45+0.9)*1.2</f>
        <v>2.82</v>
      </c>
      <c r="E114" s="393"/>
      <c r="F114" s="591"/>
    </row>
    <row r="115" spans="1:6" s="613" customFormat="1" ht="15" customHeight="1" x14ac:dyDescent="0.3">
      <c r="A115" s="65" t="s">
        <v>728</v>
      </c>
      <c r="B115" s="113" t="s">
        <v>729</v>
      </c>
      <c r="C115" s="60" t="s">
        <v>15</v>
      </c>
      <c r="D115" s="131">
        <v>2</v>
      </c>
      <c r="E115" s="393"/>
      <c r="F115" s="591"/>
    </row>
    <row r="116" spans="1:6" ht="15" customHeight="1" x14ac:dyDescent="0.3">
      <c r="A116" s="64" t="s">
        <v>23</v>
      </c>
      <c r="B116" s="111" t="s">
        <v>210</v>
      </c>
      <c r="C116" s="60"/>
      <c r="D116" s="131"/>
      <c r="E116" s="393"/>
      <c r="F116" s="591"/>
    </row>
    <row r="117" spans="1:6" ht="15" customHeight="1" x14ac:dyDescent="0.3">
      <c r="A117" s="64" t="s">
        <v>78</v>
      </c>
      <c r="B117" s="127" t="s">
        <v>211</v>
      </c>
      <c r="C117" s="60"/>
      <c r="D117" s="131"/>
      <c r="E117" s="393"/>
      <c r="F117" s="591"/>
    </row>
    <row r="118" spans="1:6" ht="15" customHeight="1" x14ac:dyDescent="0.3">
      <c r="A118" s="65" t="s">
        <v>215</v>
      </c>
      <c r="B118" s="113" t="s">
        <v>239</v>
      </c>
      <c r="C118" s="60" t="s">
        <v>18</v>
      </c>
      <c r="D118" s="131">
        <v>2</v>
      </c>
      <c r="E118" s="393"/>
      <c r="F118" s="591"/>
    </row>
    <row r="119" spans="1:6" ht="15" customHeight="1" x14ac:dyDescent="0.3">
      <c r="A119" s="64" t="s">
        <v>216</v>
      </c>
      <c r="B119" s="111" t="s">
        <v>212</v>
      </c>
      <c r="C119" s="60"/>
      <c r="D119" s="131"/>
      <c r="E119" s="80"/>
      <c r="F119" s="591"/>
    </row>
    <row r="120" spans="1:6" ht="15" customHeight="1" x14ac:dyDescent="0.3">
      <c r="A120" s="64" t="s">
        <v>217</v>
      </c>
      <c r="B120" s="127" t="s">
        <v>213</v>
      </c>
      <c r="C120" s="60"/>
      <c r="D120" s="131"/>
      <c r="E120" s="80"/>
      <c r="F120" s="591"/>
    </row>
    <row r="121" spans="1:6" ht="24.9" customHeight="1" x14ac:dyDescent="0.3">
      <c r="A121" s="66" t="s">
        <v>218</v>
      </c>
      <c r="B121" s="69" t="s">
        <v>425</v>
      </c>
      <c r="C121" s="62" t="s">
        <v>18</v>
      </c>
      <c r="D121" s="70">
        <v>2</v>
      </c>
      <c r="E121" s="383"/>
      <c r="F121" s="591"/>
    </row>
    <row r="122" spans="1:6" ht="24.9" customHeight="1" x14ac:dyDescent="0.3">
      <c r="A122" s="66" t="s">
        <v>219</v>
      </c>
      <c r="B122" s="69" t="s">
        <v>731</v>
      </c>
      <c r="C122" s="62" t="s">
        <v>18</v>
      </c>
      <c r="D122" s="70">
        <v>2</v>
      </c>
      <c r="E122" s="383"/>
      <c r="F122" s="591"/>
    </row>
    <row r="123" spans="1:6" ht="15" customHeight="1" x14ac:dyDescent="0.3">
      <c r="A123" s="64" t="s">
        <v>220</v>
      </c>
      <c r="B123" s="127" t="s">
        <v>221</v>
      </c>
      <c r="C123" s="60"/>
      <c r="D123" s="131"/>
      <c r="E123" s="80"/>
      <c r="F123" s="591"/>
    </row>
    <row r="124" spans="1:6" ht="15" customHeight="1" x14ac:dyDescent="0.3">
      <c r="A124" s="65" t="s">
        <v>222</v>
      </c>
      <c r="B124" s="113" t="s">
        <v>705</v>
      </c>
      <c r="C124" s="60" t="s">
        <v>18</v>
      </c>
      <c r="D124" s="131">
        <v>2</v>
      </c>
      <c r="E124" s="393"/>
      <c r="F124" s="591"/>
    </row>
    <row r="125" spans="1:6" ht="15" customHeight="1" x14ac:dyDescent="0.3">
      <c r="A125" s="65" t="s">
        <v>223</v>
      </c>
      <c r="B125" s="81" t="s">
        <v>668</v>
      </c>
      <c r="C125" s="63" t="s">
        <v>18</v>
      </c>
      <c r="D125" s="212">
        <v>2</v>
      </c>
      <c r="E125" s="401"/>
      <c r="F125" s="591"/>
    </row>
    <row r="126" spans="1:6" ht="15" customHeight="1" x14ac:dyDescent="0.3">
      <c r="A126" s="65" t="s">
        <v>224</v>
      </c>
      <c r="B126" s="81" t="s">
        <v>669</v>
      </c>
      <c r="C126" s="63" t="s">
        <v>18</v>
      </c>
      <c r="D126" s="212">
        <v>2</v>
      </c>
      <c r="E126" s="401"/>
      <c r="F126" s="591"/>
    </row>
    <row r="127" spans="1:6" s="613" customFormat="1" ht="15" customHeight="1" x14ac:dyDescent="0.3">
      <c r="A127" s="65" t="s">
        <v>726</v>
      </c>
      <c r="B127" s="81" t="s">
        <v>727</v>
      </c>
      <c r="C127" s="63" t="s">
        <v>18</v>
      </c>
      <c r="D127" s="212">
        <v>2</v>
      </c>
      <c r="E127" s="401"/>
      <c r="F127" s="591"/>
    </row>
    <row r="128" spans="1:6" ht="15" customHeight="1" thickBot="1" x14ac:dyDescent="0.35">
      <c r="A128" s="78"/>
      <c r="B128" s="128"/>
      <c r="C128" s="63"/>
      <c r="D128" s="206"/>
      <c r="E128" s="207"/>
      <c r="F128" s="592"/>
    </row>
    <row r="129" spans="1:6" ht="15" customHeight="1" thickBot="1" x14ac:dyDescent="0.35">
      <c r="A129" s="767" t="s">
        <v>225</v>
      </c>
      <c r="B129" s="768"/>
      <c r="C129" s="768"/>
      <c r="D129" s="768"/>
      <c r="E129" s="768"/>
      <c r="F129" s="589"/>
    </row>
    <row r="130" spans="1:6" ht="15" customHeight="1" x14ac:dyDescent="0.3">
      <c r="A130" s="708"/>
      <c r="B130" s="709"/>
      <c r="C130" s="696"/>
      <c r="D130" s="697"/>
      <c r="E130" s="698"/>
      <c r="F130" s="699"/>
    </row>
    <row r="131" spans="1:6" ht="15" customHeight="1" x14ac:dyDescent="0.3">
      <c r="A131" s="58" t="s">
        <v>226</v>
      </c>
      <c r="B131" s="99" t="s">
        <v>227</v>
      </c>
      <c r="C131" s="60"/>
      <c r="D131" s="131"/>
      <c r="E131" s="51"/>
      <c r="F131" s="89"/>
    </row>
    <row r="132" spans="1:6" ht="15" customHeight="1" x14ac:dyDescent="0.3">
      <c r="A132" s="708"/>
      <c r="B132" s="709"/>
      <c r="C132" s="696"/>
      <c r="D132" s="697"/>
      <c r="E132" s="698"/>
      <c r="F132" s="699"/>
    </row>
    <row r="133" spans="1:6" ht="15" customHeight="1" x14ac:dyDescent="0.3">
      <c r="A133" s="64" t="s">
        <v>44</v>
      </c>
      <c r="B133" s="111" t="s">
        <v>228</v>
      </c>
      <c r="C133" s="60"/>
      <c r="D133" s="131"/>
      <c r="E133" s="80"/>
      <c r="F133" s="119"/>
    </row>
    <row r="134" spans="1:6" ht="15" customHeight="1" x14ac:dyDescent="0.3">
      <c r="A134" s="64" t="s">
        <v>75</v>
      </c>
      <c r="B134" s="127" t="s">
        <v>229</v>
      </c>
      <c r="C134" s="60"/>
      <c r="D134" s="131"/>
      <c r="E134" s="80"/>
      <c r="F134" s="119"/>
    </row>
    <row r="135" spans="1:6" ht="15" customHeight="1" x14ac:dyDescent="0.3">
      <c r="A135" s="65" t="s">
        <v>242</v>
      </c>
      <c r="B135" s="113" t="s">
        <v>241</v>
      </c>
      <c r="C135" s="60" t="s">
        <v>15</v>
      </c>
      <c r="D135" s="131">
        <f>3.03+3.5</f>
        <v>6.5299999999999994</v>
      </c>
      <c r="E135" s="393"/>
      <c r="F135" s="591"/>
    </row>
    <row r="136" spans="1:6" ht="15" customHeight="1" x14ac:dyDescent="0.3">
      <c r="A136" s="64" t="s">
        <v>24</v>
      </c>
      <c r="B136" s="111" t="s">
        <v>232</v>
      </c>
      <c r="C136" s="60"/>
      <c r="D136" s="131"/>
      <c r="E136" s="393"/>
      <c r="F136" s="591"/>
    </row>
    <row r="137" spans="1:6" ht="15" customHeight="1" x14ac:dyDescent="0.3">
      <c r="A137" s="64" t="s">
        <v>25</v>
      </c>
      <c r="B137" s="130" t="s">
        <v>233</v>
      </c>
      <c r="C137" s="60"/>
      <c r="D137" s="131"/>
      <c r="E137" s="393"/>
      <c r="F137" s="591"/>
    </row>
    <row r="138" spans="1:6" ht="15" customHeight="1" x14ac:dyDescent="0.3">
      <c r="A138" s="68" t="s">
        <v>243</v>
      </c>
      <c r="B138" s="132" t="s">
        <v>230</v>
      </c>
      <c r="C138" s="67" t="s">
        <v>18</v>
      </c>
      <c r="D138" s="133">
        <v>1</v>
      </c>
      <c r="E138" s="593"/>
      <c r="F138" s="591"/>
    </row>
    <row r="139" spans="1:6" ht="15" customHeight="1" x14ac:dyDescent="0.3">
      <c r="A139" s="65" t="s">
        <v>244</v>
      </c>
      <c r="B139" s="69" t="s">
        <v>723</v>
      </c>
      <c r="C139" s="60" t="s">
        <v>18</v>
      </c>
      <c r="D139" s="131">
        <v>1</v>
      </c>
      <c r="E139" s="393"/>
      <c r="F139" s="591"/>
    </row>
    <row r="140" spans="1:6" ht="15" customHeight="1" x14ac:dyDescent="0.3">
      <c r="A140" s="64" t="s">
        <v>245</v>
      </c>
      <c r="B140" s="130" t="s">
        <v>234</v>
      </c>
      <c r="C140" s="60"/>
      <c r="D140" s="131"/>
      <c r="E140" s="393"/>
      <c r="F140" s="591"/>
    </row>
    <row r="141" spans="1:6" ht="15" customHeight="1" x14ac:dyDescent="0.3">
      <c r="A141" s="66" t="s">
        <v>246</v>
      </c>
      <c r="B141" s="69" t="s">
        <v>235</v>
      </c>
      <c r="C141" s="62" t="s">
        <v>18</v>
      </c>
      <c r="D141" s="70">
        <v>1</v>
      </c>
      <c r="E141" s="383"/>
      <c r="F141" s="591"/>
    </row>
    <row r="142" spans="1:6" ht="15" customHeight="1" x14ac:dyDescent="0.3">
      <c r="A142" s="64" t="s">
        <v>247</v>
      </c>
      <c r="B142" s="130" t="s">
        <v>236</v>
      </c>
      <c r="C142" s="62"/>
      <c r="D142" s="70"/>
      <c r="E142" s="383"/>
      <c r="F142" s="591"/>
    </row>
    <row r="143" spans="1:6" ht="15" customHeight="1" x14ac:dyDescent="0.3">
      <c r="A143" s="66" t="s">
        <v>248</v>
      </c>
      <c r="B143" s="69" t="s">
        <v>237</v>
      </c>
      <c r="C143" s="62" t="s">
        <v>18</v>
      </c>
      <c r="D143" s="70">
        <v>1</v>
      </c>
      <c r="E143" s="383"/>
      <c r="F143" s="591"/>
    </row>
    <row r="144" spans="1:6" ht="15" customHeight="1" thickBot="1" x14ac:dyDescent="0.35">
      <c r="A144" s="710"/>
      <c r="B144" s="711"/>
      <c r="C144" s="712"/>
      <c r="D144" s="713"/>
      <c r="E144" s="714"/>
      <c r="F144" s="715"/>
    </row>
    <row r="145" spans="1:9" ht="15" customHeight="1" thickBot="1" x14ac:dyDescent="0.35">
      <c r="A145" s="767" t="s">
        <v>231</v>
      </c>
      <c r="B145" s="768"/>
      <c r="C145" s="768"/>
      <c r="D145" s="768"/>
      <c r="E145" s="768"/>
      <c r="F145" s="586"/>
    </row>
    <row r="146" spans="1:9" ht="15" customHeight="1" x14ac:dyDescent="0.3">
      <c r="A146" s="716"/>
      <c r="B146" s="111"/>
      <c r="C146" s="60"/>
      <c r="D146" s="131"/>
      <c r="E146" s="80"/>
      <c r="F146" s="112"/>
    </row>
    <row r="147" spans="1:9" ht="15" customHeight="1" x14ac:dyDescent="0.3">
      <c r="A147" s="58" t="s">
        <v>249</v>
      </c>
      <c r="B147" s="99" t="s">
        <v>250</v>
      </c>
      <c r="C147" s="60"/>
      <c r="D147" s="131"/>
      <c r="E147" s="51"/>
      <c r="F147" s="89"/>
    </row>
    <row r="148" spans="1:9" ht="15" customHeight="1" x14ac:dyDescent="0.3">
      <c r="A148" s="716"/>
      <c r="B148" s="111"/>
      <c r="C148" s="60"/>
      <c r="D148" s="131"/>
      <c r="E148" s="80"/>
      <c r="F148" s="112"/>
    </row>
    <row r="149" spans="1:9" ht="15" customHeight="1" x14ac:dyDescent="0.3">
      <c r="A149" s="64" t="s">
        <v>26</v>
      </c>
      <c r="B149" s="111" t="s">
        <v>251</v>
      </c>
      <c r="C149" s="60"/>
      <c r="D149" s="131"/>
      <c r="E149" s="80"/>
      <c r="F149" s="119"/>
    </row>
    <row r="150" spans="1:9" ht="15" customHeight="1" x14ac:dyDescent="0.3">
      <c r="A150" s="64" t="s">
        <v>42</v>
      </c>
      <c r="B150" s="127" t="s">
        <v>253</v>
      </c>
      <c r="C150" s="60"/>
      <c r="D150" s="131"/>
      <c r="E150" s="80"/>
      <c r="F150" s="119"/>
    </row>
    <row r="151" spans="1:9" ht="15" customHeight="1" x14ac:dyDescent="0.3">
      <c r="A151" s="65" t="s">
        <v>258</v>
      </c>
      <c r="B151" s="113" t="s">
        <v>422</v>
      </c>
      <c r="C151" s="60" t="s">
        <v>15</v>
      </c>
      <c r="D151" s="131">
        <v>37.72</v>
      </c>
      <c r="E151" s="594"/>
      <c r="F151" s="591"/>
    </row>
    <row r="152" spans="1:9" ht="15" customHeight="1" x14ac:dyDescent="0.3">
      <c r="A152" s="65" t="s">
        <v>259</v>
      </c>
      <c r="B152" s="113" t="s">
        <v>252</v>
      </c>
      <c r="C152" s="60" t="s">
        <v>15</v>
      </c>
      <c r="D152" s="131">
        <f>+D151</f>
        <v>37.72</v>
      </c>
      <c r="E152" s="594"/>
      <c r="F152" s="591"/>
    </row>
    <row r="153" spans="1:9" ht="15" customHeight="1" x14ac:dyDescent="0.3">
      <c r="A153" s="64" t="s">
        <v>266</v>
      </c>
      <c r="B153" s="127" t="s">
        <v>254</v>
      </c>
      <c r="C153" s="60"/>
      <c r="D153" s="131"/>
      <c r="E153" s="594"/>
      <c r="F153" s="591"/>
    </row>
    <row r="154" spans="1:9" ht="24.9" customHeight="1" x14ac:dyDescent="0.3">
      <c r="A154" s="66" t="s">
        <v>608</v>
      </c>
      <c r="B154" s="69" t="s">
        <v>280</v>
      </c>
      <c r="C154" s="62" t="s">
        <v>15</v>
      </c>
      <c r="D154" s="70">
        <v>33.47</v>
      </c>
      <c r="E154" s="595"/>
      <c r="F154" s="591"/>
    </row>
    <row r="155" spans="1:9" ht="24.9" customHeight="1" x14ac:dyDescent="0.3">
      <c r="A155" s="66" t="s">
        <v>699</v>
      </c>
      <c r="B155" s="69" t="s">
        <v>264</v>
      </c>
      <c r="C155" s="62" t="s">
        <v>54</v>
      </c>
      <c r="D155" s="70">
        <v>2</v>
      </c>
      <c r="E155" s="595"/>
      <c r="F155" s="591"/>
    </row>
    <row r="156" spans="1:9" ht="15" customHeight="1" x14ac:dyDescent="0.3">
      <c r="A156" s="64" t="s">
        <v>267</v>
      </c>
      <c r="B156" s="127" t="s">
        <v>255</v>
      </c>
      <c r="C156" s="60"/>
      <c r="D156" s="131"/>
      <c r="E156" s="594"/>
      <c r="F156" s="591"/>
    </row>
    <row r="157" spans="1:9" ht="24.9" customHeight="1" x14ac:dyDescent="0.3">
      <c r="A157" s="66" t="s">
        <v>281</v>
      </c>
      <c r="B157" s="69" t="s">
        <v>670</v>
      </c>
      <c r="C157" s="62" t="s">
        <v>18</v>
      </c>
      <c r="D157" s="70">
        <v>1</v>
      </c>
      <c r="E157" s="595"/>
      <c r="F157" s="591"/>
      <c r="I157">
        <v>37.72</v>
      </c>
    </row>
    <row r="158" spans="1:9" ht="15" customHeight="1" x14ac:dyDescent="0.3">
      <c r="A158" s="64" t="s">
        <v>27</v>
      </c>
      <c r="B158" s="111" t="s">
        <v>263</v>
      </c>
      <c r="C158" s="60"/>
      <c r="D158" s="131"/>
      <c r="E158" s="594"/>
      <c r="F158" s="591"/>
    </row>
    <row r="159" spans="1:9" ht="15" customHeight="1" x14ac:dyDescent="0.3">
      <c r="A159" s="64" t="s">
        <v>71</v>
      </c>
      <c r="B159" s="127" t="s">
        <v>257</v>
      </c>
      <c r="C159" s="60"/>
      <c r="D159" s="131"/>
      <c r="E159" s="594"/>
      <c r="F159" s="591"/>
    </row>
    <row r="160" spans="1:9" ht="15" customHeight="1" x14ac:dyDescent="0.3">
      <c r="A160" s="65" t="s">
        <v>260</v>
      </c>
      <c r="B160" s="113" t="s">
        <v>423</v>
      </c>
      <c r="C160" s="60" t="s">
        <v>15</v>
      </c>
      <c r="D160" s="131">
        <f>7*1.9*1.2</f>
        <v>15.959999999999997</v>
      </c>
      <c r="E160" s="594"/>
      <c r="F160" s="591"/>
    </row>
    <row r="161" spans="1:6" ht="15" customHeight="1" x14ac:dyDescent="0.3">
      <c r="A161" s="65" t="s">
        <v>261</v>
      </c>
      <c r="B161" s="113" t="s">
        <v>428</v>
      </c>
      <c r="C161" s="60" t="s">
        <v>15</v>
      </c>
      <c r="D161" s="131">
        <f>+(2.45+3.47+3.37+0.3*8+0.72+1.2*2+2.01+3.11+2.53+0.31+2*1.9)*1.2</f>
        <v>31.884</v>
      </c>
      <c r="E161" s="594"/>
      <c r="F161" s="591"/>
    </row>
    <row r="162" spans="1:6" ht="15" customHeight="1" x14ac:dyDescent="0.3">
      <c r="A162" s="65" t="s">
        <v>262</v>
      </c>
      <c r="B162" s="113" t="s">
        <v>256</v>
      </c>
      <c r="C162" s="60" t="s">
        <v>15</v>
      </c>
      <c r="D162" s="131">
        <f>+(2.76+2.37+1.1+1.73+1.56+4.2+1.06+1.78+5.15+2.42+10.46+1.33+1.71+1.95+1.71+1.22+5.11+1.22)*1.2</f>
        <v>58.608000000000004</v>
      </c>
      <c r="E162" s="594"/>
      <c r="F162" s="591"/>
    </row>
    <row r="163" spans="1:6" ht="15" customHeight="1" x14ac:dyDescent="0.3">
      <c r="A163" s="78" t="s">
        <v>28</v>
      </c>
      <c r="B163" s="214" t="s">
        <v>268</v>
      </c>
      <c r="C163" s="185"/>
      <c r="D163" s="165"/>
      <c r="E163" s="185"/>
      <c r="F163" s="591"/>
    </row>
    <row r="164" spans="1:6" ht="15" customHeight="1" x14ac:dyDescent="0.3">
      <c r="A164" s="147" t="s">
        <v>87</v>
      </c>
      <c r="B164" s="215" t="s">
        <v>270</v>
      </c>
      <c r="C164" s="216"/>
      <c r="D164" s="166"/>
      <c r="E164" s="216"/>
      <c r="F164" s="591"/>
    </row>
    <row r="165" spans="1:6" ht="15" customHeight="1" x14ac:dyDescent="0.3">
      <c r="A165" s="148" t="s">
        <v>282</v>
      </c>
      <c r="B165" s="216" t="s">
        <v>269</v>
      </c>
      <c r="C165" s="163" t="s">
        <v>18</v>
      </c>
      <c r="D165" s="169">
        <v>7</v>
      </c>
      <c r="E165" s="216"/>
      <c r="F165" s="591"/>
    </row>
    <row r="166" spans="1:6" ht="15" customHeight="1" x14ac:dyDescent="0.3">
      <c r="A166" s="148" t="s">
        <v>283</v>
      </c>
      <c r="B166" s="216" t="s">
        <v>274</v>
      </c>
      <c r="C166" s="163" t="s">
        <v>18</v>
      </c>
      <c r="D166" s="169">
        <v>1</v>
      </c>
      <c r="E166" s="216"/>
      <c r="F166" s="591"/>
    </row>
    <row r="167" spans="1:6" ht="15" customHeight="1" x14ac:dyDescent="0.3">
      <c r="A167" s="135" t="s">
        <v>89</v>
      </c>
      <c r="B167" s="217" t="s">
        <v>271</v>
      </c>
      <c r="C167" s="185"/>
      <c r="D167" s="165"/>
      <c r="E167" s="185"/>
      <c r="F167" s="591"/>
    </row>
    <row r="168" spans="1:6" ht="15" customHeight="1" x14ac:dyDescent="0.3">
      <c r="A168" s="136" t="s">
        <v>284</v>
      </c>
      <c r="B168" s="113" t="s">
        <v>272</v>
      </c>
      <c r="C168" s="60" t="s">
        <v>18</v>
      </c>
      <c r="D168" s="131">
        <f>1+1+1+1</f>
        <v>4</v>
      </c>
      <c r="E168" s="594"/>
      <c r="F168" s="591"/>
    </row>
    <row r="169" spans="1:6" ht="15" customHeight="1" x14ac:dyDescent="0.3">
      <c r="A169" s="136" t="s">
        <v>285</v>
      </c>
      <c r="B169" s="113" t="s">
        <v>273</v>
      </c>
      <c r="C169" s="60" t="s">
        <v>18</v>
      </c>
      <c r="D169" s="131">
        <f>1+1</f>
        <v>2</v>
      </c>
      <c r="E169" s="594"/>
      <c r="F169" s="591"/>
    </row>
    <row r="170" spans="1:6" ht="15" customHeight="1" x14ac:dyDescent="0.3">
      <c r="A170" s="136" t="s">
        <v>286</v>
      </c>
      <c r="B170" s="113" t="s">
        <v>424</v>
      </c>
      <c r="C170" s="60" t="s">
        <v>18</v>
      </c>
      <c r="D170" s="131">
        <f>1+1</f>
        <v>2</v>
      </c>
      <c r="E170" s="594"/>
      <c r="F170" s="591"/>
    </row>
    <row r="171" spans="1:6" ht="15" customHeight="1" x14ac:dyDescent="0.3">
      <c r="A171" s="135" t="s">
        <v>90</v>
      </c>
      <c r="B171" s="127" t="s">
        <v>275</v>
      </c>
      <c r="C171" s="60"/>
      <c r="D171" s="131"/>
      <c r="E171" s="594"/>
      <c r="F171" s="591"/>
    </row>
    <row r="172" spans="1:6" ht="15" customHeight="1" x14ac:dyDescent="0.3">
      <c r="A172" s="136" t="s">
        <v>287</v>
      </c>
      <c r="B172" s="113" t="s">
        <v>276</v>
      </c>
      <c r="C172" s="60" t="s">
        <v>18</v>
      </c>
      <c r="D172" s="131">
        <v>8</v>
      </c>
      <c r="E172" s="594"/>
      <c r="F172" s="591"/>
    </row>
    <row r="173" spans="1:6" ht="15" customHeight="1" x14ac:dyDescent="0.3">
      <c r="A173" s="136" t="s">
        <v>288</v>
      </c>
      <c r="B173" s="113" t="s">
        <v>277</v>
      </c>
      <c r="C173" s="60" t="s">
        <v>18</v>
      </c>
      <c r="D173" s="131">
        <v>6</v>
      </c>
      <c r="E173" s="594"/>
      <c r="F173" s="591"/>
    </row>
    <row r="174" spans="1:6" ht="15" customHeight="1" x14ac:dyDescent="0.3">
      <c r="A174" s="136" t="s">
        <v>289</v>
      </c>
      <c r="B174" s="113" t="s">
        <v>278</v>
      </c>
      <c r="C174" s="60" t="s">
        <v>18</v>
      </c>
      <c r="D174" s="131">
        <v>1</v>
      </c>
      <c r="E174" s="594"/>
      <c r="F174" s="591"/>
    </row>
    <row r="175" spans="1:6" ht="15" customHeight="1" x14ac:dyDescent="0.3">
      <c r="A175" s="136" t="s">
        <v>290</v>
      </c>
      <c r="B175" s="113" t="s">
        <v>279</v>
      </c>
      <c r="C175" s="60" t="s">
        <v>18</v>
      </c>
      <c r="D175" s="131">
        <v>2</v>
      </c>
      <c r="E175" s="594"/>
      <c r="F175" s="591"/>
    </row>
    <row r="176" spans="1:6" ht="15" customHeight="1" x14ac:dyDescent="0.3">
      <c r="A176" s="135" t="s">
        <v>29</v>
      </c>
      <c r="B176" s="111" t="s">
        <v>232</v>
      </c>
      <c r="C176" s="60"/>
      <c r="D176" s="131"/>
      <c r="E176" s="594"/>
      <c r="F176" s="591"/>
    </row>
    <row r="177" spans="1:6" ht="15" customHeight="1" x14ac:dyDescent="0.3">
      <c r="A177" s="65" t="s">
        <v>91</v>
      </c>
      <c r="B177" s="113" t="s">
        <v>265</v>
      </c>
      <c r="C177" s="60" t="s">
        <v>54</v>
      </c>
      <c r="D177" s="131">
        <v>1</v>
      </c>
      <c r="E177" s="594"/>
      <c r="F177" s="591"/>
    </row>
    <row r="178" spans="1:6" ht="15" customHeight="1" thickBot="1" x14ac:dyDescent="0.35">
      <c r="A178" s="65"/>
      <c r="B178" s="113"/>
      <c r="C178" s="60"/>
      <c r="D178" s="131"/>
      <c r="E178" s="80"/>
      <c r="F178" s="119"/>
    </row>
    <row r="179" spans="1:6" ht="15" customHeight="1" thickBot="1" x14ac:dyDescent="0.35">
      <c r="A179" s="767" t="s">
        <v>291</v>
      </c>
      <c r="B179" s="768"/>
      <c r="C179" s="768"/>
      <c r="D179" s="768"/>
      <c r="E179" s="768"/>
      <c r="F179" s="589"/>
    </row>
    <row r="180" spans="1:6" ht="15" customHeight="1" x14ac:dyDescent="0.3">
      <c r="A180" s="65"/>
      <c r="B180" s="113"/>
      <c r="C180" s="60"/>
      <c r="D180" s="218"/>
      <c r="E180" s="80"/>
      <c r="F180" s="119"/>
    </row>
    <row r="181" spans="1:6" ht="15" customHeight="1" x14ac:dyDescent="0.3">
      <c r="A181" s="58" t="s">
        <v>292</v>
      </c>
      <c r="B181" s="99" t="s">
        <v>293</v>
      </c>
      <c r="C181" s="60"/>
      <c r="D181" s="131"/>
      <c r="E181" s="51"/>
      <c r="F181" s="89"/>
    </row>
    <row r="182" spans="1:6" ht="15" customHeight="1" x14ac:dyDescent="0.3">
      <c r="A182" s="65"/>
      <c r="B182" s="113"/>
      <c r="C182" s="60"/>
      <c r="D182" s="218"/>
      <c r="E182" s="80"/>
      <c r="F182" s="119"/>
    </row>
    <row r="183" spans="1:6" ht="15" customHeight="1" x14ac:dyDescent="0.3">
      <c r="A183" s="64" t="s">
        <v>294</v>
      </c>
      <c r="B183" s="111" t="s">
        <v>295</v>
      </c>
      <c r="C183" s="60"/>
      <c r="D183" s="131"/>
      <c r="E183" s="80"/>
      <c r="F183" s="119"/>
    </row>
    <row r="184" spans="1:6" ht="15" customHeight="1" x14ac:dyDescent="0.3">
      <c r="A184" s="64" t="s">
        <v>296</v>
      </c>
      <c r="B184" s="127" t="s">
        <v>297</v>
      </c>
      <c r="C184" s="60"/>
      <c r="D184" s="218"/>
      <c r="E184" s="80"/>
      <c r="F184" s="119"/>
    </row>
    <row r="185" spans="1:6" ht="15" customHeight="1" x14ac:dyDescent="0.3">
      <c r="A185" s="65" t="s">
        <v>298</v>
      </c>
      <c r="B185" s="113" t="s">
        <v>301</v>
      </c>
      <c r="C185" s="60" t="s">
        <v>18</v>
      </c>
      <c r="D185" s="131">
        <v>1</v>
      </c>
      <c r="E185" s="594"/>
      <c r="F185" s="591"/>
    </row>
    <row r="186" spans="1:6" ht="15" customHeight="1" x14ac:dyDescent="0.3">
      <c r="A186" s="65" t="s">
        <v>299</v>
      </c>
      <c r="B186" s="113" t="s">
        <v>302</v>
      </c>
      <c r="C186" s="60" t="s">
        <v>18</v>
      </c>
      <c r="D186" s="131">
        <v>1</v>
      </c>
      <c r="E186" s="594"/>
      <c r="F186" s="591"/>
    </row>
    <row r="187" spans="1:6" ht="15" customHeight="1" x14ac:dyDescent="0.3">
      <c r="A187" s="64" t="s">
        <v>305</v>
      </c>
      <c r="B187" s="127" t="s">
        <v>300</v>
      </c>
      <c r="C187" s="60"/>
      <c r="D187" s="131"/>
      <c r="E187" s="594"/>
      <c r="F187" s="591"/>
    </row>
    <row r="188" spans="1:6" ht="15" customHeight="1" x14ac:dyDescent="0.3">
      <c r="A188" s="65" t="s">
        <v>306</v>
      </c>
      <c r="B188" s="113" t="s">
        <v>303</v>
      </c>
      <c r="C188" s="60" t="s">
        <v>18</v>
      </c>
      <c r="D188" s="131">
        <v>3</v>
      </c>
      <c r="E188" s="594"/>
      <c r="F188" s="591"/>
    </row>
    <row r="189" spans="1:6" ht="15" customHeight="1" x14ac:dyDescent="0.3">
      <c r="A189" s="65" t="s">
        <v>307</v>
      </c>
      <c r="B189" s="113" t="s">
        <v>304</v>
      </c>
      <c r="C189" s="60" t="s">
        <v>18</v>
      </c>
      <c r="D189" s="131">
        <v>1</v>
      </c>
      <c r="E189" s="594"/>
      <c r="F189" s="591"/>
    </row>
    <row r="190" spans="1:6" ht="15" customHeight="1" thickBot="1" x14ac:dyDescent="0.35">
      <c r="A190" s="65"/>
      <c r="B190" s="113"/>
      <c r="C190" s="60"/>
      <c r="D190" s="218"/>
      <c r="E190" s="80"/>
      <c r="F190" s="119"/>
    </row>
    <row r="191" spans="1:6" ht="15" customHeight="1" thickBot="1" x14ac:dyDescent="0.35">
      <c r="A191" s="767" t="s">
        <v>308</v>
      </c>
      <c r="B191" s="768"/>
      <c r="C191" s="768"/>
      <c r="D191" s="768"/>
      <c r="E191" s="768"/>
      <c r="F191" s="586"/>
    </row>
    <row r="192" spans="1:6" ht="15" customHeight="1" x14ac:dyDescent="0.3">
      <c r="A192" s="65"/>
      <c r="B192" s="113"/>
      <c r="C192" s="60"/>
      <c r="D192" s="218"/>
      <c r="E192" s="80"/>
      <c r="F192" s="119"/>
    </row>
    <row r="193" spans="1:6" ht="15" customHeight="1" x14ac:dyDescent="0.3">
      <c r="A193" s="58" t="s">
        <v>309</v>
      </c>
      <c r="B193" s="99" t="s">
        <v>310</v>
      </c>
      <c r="C193" s="60"/>
      <c r="D193" s="131"/>
      <c r="E193" s="51"/>
      <c r="F193" s="89"/>
    </row>
    <row r="194" spans="1:6" ht="15" customHeight="1" x14ac:dyDescent="0.3">
      <c r="A194" s="65"/>
      <c r="B194" s="113"/>
      <c r="C194" s="60"/>
      <c r="D194" s="218"/>
      <c r="E194" s="80"/>
      <c r="F194" s="119"/>
    </row>
    <row r="195" spans="1:6" ht="15" customHeight="1" x14ac:dyDescent="0.3">
      <c r="A195" s="64" t="s">
        <v>48</v>
      </c>
      <c r="B195" s="111" t="s">
        <v>88</v>
      </c>
      <c r="C195" s="60"/>
      <c r="D195" s="131"/>
      <c r="E195" s="80"/>
      <c r="F195" s="119"/>
    </row>
    <row r="196" spans="1:6" ht="15" customHeight="1" x14ac:dyDescent="0.3">
      <c r="A196" s="64" t="s">
        <v>49</v>
      </c>
      <c r="B196" s="127" t="s">
        <v>311</v>
      </c>
      <c r="C196" s="60"/>
      <c r="D196" s="218"/>
      <c r="E196" s="80"/>
      <c r="F196" s="119"/>
    </row>
    <row r="197" spans="1:6" ht="15" customHeight="1" x14ac:dyDescent="0.3">
      <c r="A197" s="65" t="s">
        <v>313</v>
      </c>
      <c r="B197" s="113" t="s">
        <v>312</v>
      </c>
      <c r="C197" s="60" t="s">
        <v>414</v>
      </c>
      <c r="D197" s="131">
        <v>1</v>
      </c>
      <c r="E197" s="393"/>
      <c r="F197" s="590"/>
    </row>
    <row r="198" spans="1:6" ht="15" customHeight="1" x14ac:dyDescent="0.3">
      <c r="A198" s="64" t="s">
        <v>316</v>
      </c>
      <c r="B198" s="111" t="s">
        <v>314</v>
      </c>
      <c r="C198" s="60"/>
      <c r="D198" s="131"/>
      <c r="E198" s="393"/>
      <c r="F198" s="590"/>
    </row>
    <row r="199" spans="1:6" ht="15" customHeight="1" x14ac:dyDescent="0.3">
      <c r="A199" s="65" t="s">
        <v>319</v>
      </c>
      <c r="B199" s="113" t="s">
        <v>315</v>
      </c>
      <c r="C199" s="60" t="s">
        <v>15</v>
      </c>
      <c r="D199" s="131">
        <f>+(8.29+2*0.3+3)*1.2</f>
        <v>14.267999999999999</v>
      </c>
      <c r="E199" s="393"/>
      <c r="F199" s="590"/>
    </row>
    <row r="200" spans="1:6" ht="15" customHeight="1" x14ac:dyDescent="0.3">
      <c r="A200" s="65" t="s">
        <v>320</v>
      </c>
      <c r="B200" s="113" t="s">
        <v>318</v>
      </c>
      <c r="C200" s="60" t="s">
        <v>15</v>
      </c>
      <c r="D200" s="131">
        <f>+D199</f>
        <v>14.267999999999999</v>
      </c>
      <c r="E200" s="393"/>
      <c r="F200" s="590"/>
    </row>
    <row r="201" spans="1:6" ht="15" customHeight="1" x14ac:dyDescent="0.3">
      <c r="A201" s="65" t="s">
        <v>321</v>
      </c>
      <c r="B201" s="113" t="s">
        <v>317</v>
      </c>
      <c r="C201" s="60" t="s">
        <v>18</v>
      </c>
      <c r="D201" s="131">
        <v>1</v>
      </c>
      <c r="E201" s="393"/>
      <c r="F201" s="590"/>
    </row>
    <row r="202" spans="1:6" ht="15" customHeight="1" x14ac:dyDescent="0.3">
      <c r="A202" s="64" t="s">
        <v>323</v>
      </c>
      <c r="B202" s="111" t="s">
        <v>322</v>
      </c>
      <c r="C202" s="60"/>
      <c r="D202" s="131"/>
      <c r="E202" s="393"/>
      <c r="F202" s="590"/>
    </row>
    <row r="203" spans="1:6" ht="15" customHeight="1" x14ac:dyDescent="0.3">
      <c r="A203" s="65" t="s">
        <v>325</v>
      </c>
      <c r="B203" s="113" t="s">
        <v>324</v>
      </c>
      <c r="C203" s="60" t="s">
        <v>18</v>
      </c>
      <c r="D203" s="131">
        <v>2</v>
      </c>
      <c r="E203" s="393"/>
      <c r="F203" s="590"/>
    </row>
    <row r="204" spans="1:6" ht="15" customHeight="1" thickBot="1" x14ac:dyDescent="0.35">
      <c r="A204" s="65"/>
      <c r="B204" s="113"/>
      <c r="C204" s="60"/>
      <c r="D204" s="218"/>
      <c r="E204" s="80"/>
      <c r="F204" s="119"/>
    </row>
    <row r="205" spans="1:6" ht="15" customHeight="1" thickBot="1" x14ac:dyDescent="0.35">
      <c r="A205" s="767" t="s">
        <v>326</v>
      </c>
      <c r="B205" s="768"/>
      <c r="C205" s="768"/>
      <c r="D205" s="768"/>
      <c r="E205" s="768"/>
      <c r="F205" s="586"/>
    </row>
    <row r="206" spans="1:6" ht="15" customHeight="1" x14ac:dyDescent="0.3">
      <c r="A206" s="65"/>
      <c r="B206" s="113"/>
      <c r="C206" s="60"/>
      <c r="D206" s="218"/>
      <c r="E206" s="80"/>
      <c r="F206" s="119"/>
    </row>
    <row r="207" spans="1:6" ht="15" customHeight="1" x14ac:dyDescent="0.3">
      <c r="A207" s="58" t="s">
        <v>327</v>
      </c>
      <c r="B207" s="99" t="s">
        <v>328</v>
      </c>
      <c r="C207" s="60"/>
      <c r="D207" s="131"/>
      <c r="E207" s="51"/>
      <c r="F207" s="89"/>
    </row>
    <row r="208" spans="1:6" ht="15" customHeight="1" x14ac:dyDescent="0.3">
      <c r="A208" s="65"/>
      <c r="B208" s="113"/>
      <c r="C208" s="60"/>
      <c r="D208" s="218"/>
      <c r="E208" s="80"/>
      <c r="F208" s="119"/>
    </row>
    <row r="209" spans="1:6" ht="15" customHeight="1" x14ac:dyDescent="0.3">
      <c r="A209" s="64" t="s">
        <v>93</v>
      </c>
      <c r="B209" s="111" t="s">
        <v>329</v>
      </c>
      <c r="C209" s="60"/>
      <c r="D209" s="218"/>
      <c r="E209" s="80"/>
      <c r="F209" s="119"/>
    </row>
    <row r="210" spans="1:6" ht="15" customHeight="1" x14ac:dyDescent="0.3">
      <c r="A210" s="64" t="s">
        <v>94</v>
      </c>
      <c r="B210" s="127" t="s">
        <v>330</v>
      </c>
      <c r="C210" s="60"/>
      <c r="D210" s="218"/>
      <c r="E210" s="80"/>
      <c r="F210" s="119"/>
    </row>
    <row r="211" spans="1:6" s="18" customFormat="1" ht="24.9" customHeight="1" x14ac:dyDescent="0.3">
      <c r="A211" s="66" t="s">
        <v>332</v>
      </c>
      <c r="B211" s="69" t="s">
        <v>709</v>
      </c>
      <c r="C211" s="62" t="s">
        <v>18</v>
      </c>
      <c r="D211" s="70">
        <v>2</v>
      </c>
      <c r="E211" s="383"/>
      <c r="F211" s="591"/>
    </row>
    <row r="212" spans="1:6" ht="15" customHeight="1" thickBot="1" x14ac:dyDescent="0.35">
      <c r="A212" s="65"/>
      <c r="B212" s="113"/>
      <c r="C212" s="60"/>
      <c r="D212" s="218"/>
      <c r="E212" s="80"/>
      <c r="F212" s="591"/>
    </row>
    <row r="213" spans="1:6" ht="15" customHeight="1" thickBot="1" x14ac:dyDescent="0.35">
      <c r="A213" s="767" t="s">
        <v>333</v>
      </c>
      <c r="B213" s="768"/>
      <c r="C213" s="768"/>
      <c r="D213" s="768"/>
      <c r="E213" s="768"/>
      <c r="F213" s="586"/>
    </row>
    <row r="214" spans="1:6" ht="15" customHeight="1" x14ac:dyDescent="0.3">
      <c r="A214" s="65"/>
      <c r="B214" s="113"/>
      <c r="C214" s="60"/>
      <c r="D214" s="218"/>
      <c r="E214" s="80"/>
      <c r="F214" s="119"/>
    </row>
    <row r="215" spans="1:6" ht="15" customHeight="1" x14ac:dyDescent="0.3">
      <c r="A215" s="58" t="s">
        <v>334</v>
      </c>
      <c r="B215" s="99" t="s">
        <v>335</v>
      </c>
      <c r="C215" s="60"/>
      <c r="D215" s="131"/>
      <c r="E215" s="51"/>
      <c r="F215" s="89"/>
    </row>
    <row r="216" spans="1:6" ht="15" customHeight="1" x14ac:dyDescent="0.3">
      <c r="A216" s="65"/>
      <c r="B216" s="113"/>
      <c r="C216" s="60"/>
      <c r="D216" s="218"/>
      <c r="E216" s="80"/>
      <c r="F216" s="119"/>
    </row>
    <row r="217" spans="1:6" ht="15" customHeight="1" x14ac:dyDescent="0.3">
      <c r="A217" s="64" t="s">
        <v>69</v>
      </c>
      <c r="B217" s="111" t="s">
        <v>336</v>
      </c>
      <c r="C217" s="60"/>
      <c r="D217" s="218"/>
      <c r="E217" s="80"/>
      <c r="F217" s="119"/>
    </row>
    <row r="218" spans="1:6" ht="15" customHeight="1" x14ac:dyDescent="0.3">
      <c r="A218" s="64" t="s">
        <v>70</v>
      </c>
      <c r="B218" s="127" t="s">
        <v>337</v>
      </c>
      <c r="C218" s="60"/>
      <c r="D218" s="218"/>
      <c r="E218" s="80"/>
      <c r="F218" s="119"/>
    </row>
    <row r="219" spans="1:6" ht="15" customHeight="1" x14ac:dyDescent="0.3">
      <c r="A219" s="65" t="s">
        <v>342</v>
      </c>
      <c r="B219" s="113" t="s">
        <v>671</v>
      </c>
      <c r="C219" s="163" t="s">
        <v>131</v>
      </c>
      <c r="D219" s="131">
        <f>10.97+8.63+14.68+8.79</f>
        <v>43.07</v>
      </c>
      <c r="E219" s="393"/>
      <c r="F219" s="591"/>
    </row>
    <row r="220" spans="1:6" ht="15" customHeight="1" x14ac:dyDescent="0.3">
      <c r="A220" s="65" t="s">
        <v>343</v>
      </c>
      <c r="B220" s="113" t="s">
        <v>338</v>
      </c>
      <c r="C220" s="163" t="s">
        <v>131</v>
      </c>
      <c r="D220" s="131">
        <f>2*2.4</f>
        <v>4.8</v>
      </c>
      <c r="E220" s="393"/>
      <c r="F220" s="591"/>
    </row>
    <row r="221" spans="1:6" ht="15" customHeight="1" x14ac:dyDescent="0.3">
      <c r="A221" s="65" t="s">
        <v>344</v>
      </c>
      <c r="B221" s="113" t="s">
        <v>339</v>
      </c>
      <c r="C221" s="60" t="s">
        <v>15</v>
      </c>
      <c r="D221" s="131">
        <f>+((13.28-0.9)+(15.14-(2*0.9+0.8))+(17.64-(0.9+0.8))+4.58+(2*1.68)+(0.28*4)+(0.18*6))</f>
        <v>50.999999999999993</v>
      </c>
      <c r="E221" s="393"/>
      <c r="F221" s="591"/>
    </row>
    <row r="222" spans="1:6" ht="15" customHeight="1" x14ac:dyDescent="0.3">
      <c r="A222" s="64" t="s">
        <v>345</v>
      </c>
      <c r="B222" s="111" t="s">
        <v>340</v>
      </c>
      <c r="C222" s="60"/>
      <c r="D222" s="131"/>
      <c r="E222" s="393"/>
      <c r="F222" s="591"/>
    </row>
    <row r="223" spans="1:6" ht="15" customHeight="1" x14ac:dyDescent="0.3">
      <c r="A223" s="64" t="s">
        <v>346</v>
      </c>
      <c r="B223" s="127" t="s">
        <v>341</v>
      </c>
      <c r="C223" s="60"/>
      <c r="D223" s="131"/>
      <c r="E223" s="393"/>
      <c r="F223" s="591"/>
    </row>
    <row r="224" spans="1:6" ht="15" customHeight="1" x14ac:dyDescent="0.3">
      <c r="A224" s="65" t="s">
        <v>347</v>
      </c>
      <c r="B224" s="113" t="s">
        <v>429</v>
      </c>
      <c r="C224" s="163" t="s">
        <v>131</v>
      </c>
      <c r="D224" s="131">
        <f>(6.4-0.8)*2.2*2</f>
        <v>24.640000000000004</v>
      </c>
      <c r="E224" s="393"/>
      <c r="F224" s="591"/>
    </row>
    <row r="225" spans="1:6" ht="15" customHeight="1" thickBot="1" x14ac:dyDescent="0.35">
      <c r="A225" s="65"/>
      <c r="B225" s="113"/>
      <c r="C225" s="60"/>
      <c r="D225" s="218"/>
      <c r="E225" s="80"/>
      <c r="F225" s="119"/>
    </row>
    <row r="226" spans="1:6" ht="15" customHeight="1" thickBot="1" x14ac:dyDescent="0.35">
      <c r="A226" s="767" t="s">
        <v>348</v>
      </c>
      <c r="B226" s="768"/>
      <c r="C226" s="768"/>
      <c r="D226" s="768"/>
      <c r="E226" s="768"/>
      <c r="F226" s="586"/>
    </row>
    <row r="227" spans="1:6" ht="15" customHeight="1" x14ac:dyDescent="0.3">
      <c r="A227" s="65"/>
      <c r="B227" s="113"/>
      <c r="C227" s="60"/>
      <c r="D227" s="218"/>
      <c r="E227" s="80"/>
      <c r="F227" s="119"/>
    </row>
    <row r="228" spans="1:6" ht="15" customHeight="1" x14ac:dyDescent="0.3">
      <c r="A228" s="58" t="s">
        <v>349</v>
      </c>
      <c r="B228" s="99" t="s">
        <v>350</v>
      </c>
      <c r="C228" s="60"/>
      <c r="D228" s="131"/>
      <c r="E228" s="51"/>
      <c r="F228" s="89"/>
    </row>
    <row r="229" spans="1:6" ht="15" customHeight="1" x14ac:dyDescent="0.3">
      <c r="A229" s="65"/>
      <c r="B229" s="113"/>
      <c r="C229" s="60"/>
      <c r="D229" s="218"/>
      <c r="E229" s="80"/>
      <c r="F229" s="119"/>
    </row>
    <row r="230" spans="1:6" ht="15" customHeight="1" x14ac:dyDescent="0.3">
      <c r="A230" s="64" t="s">
        <v>32</v>
      </c>
      <c r="B230" s="111" t="s">
        <v>354</v>
      </c>
      <c r="C230" s="60"/>
      <c r="D230" s="218"/>
      <c r="E230" s="80"/>
      <c r="F230" s="119"/>
    </row>
    <row r="231" spans="1:6" ht="15" customHeight="1" x14ac:dyDescent="0.3">
      <c r="A231" s="64" t="s">
        <v>41</v>
      </c>
      <c r="B231" s="127" t="s">
        <v>355</v>
      </c>
      <c r="C231" s="60"/>
      <c r="D231" s="131"/>
      <c r="E231" s="80"/>
      <c r="F231" s="119"/>
    </row>
    <row r="232" spans="1:6" ht="24.9" customHeight="1" x14ac:dyDescent="0.3">
      <c r="A232" s="66" t="s">
        <v>356</v>
      </c>
      <c r="B232" s="69" t="s">
        <v>426</v>
      </c>
      <c r="C232" s="62" t="s">
        <v>18</v>
      </c>
      <c r="D232" s="70">
        <v>1</v>
      </c>
      <c r="E232" s="383"/>
      <c r="F232" s="591"/>
    </row>
    <row r="233" spans="1:6" ht="24.9" customHeight="1" x14ac:dyDescent="0.3">
      <c r="A233" s="66" t="s">
        <v>357</v>
      </c>
      <c r="B233" s="69" t="s">
        <v>362</v>
      </c>
      <c r="C233" s="62" t="s">
        <v>18</v>
      </c>
      <c r="D233" s="70">
        <f>1+1</f>
        <v>2</v>
      </c>
      <c r="E233" s="383"/>
      <c r="F233" s="591"/>
    </row>
    <row r="234" spans="1:6" ht="24.9" customHeight="1" x14ac:dyDescent="0.3">
      <c r="A234" s="66" t="s">
        <v>427</v>
      </c>
      <c r="B234" s="69" t="s">
        <v>363</v>
      </c>
      <c r="C234" s="60" t="s">
        <v>18</v>
      </c>
      <c r="D234" s="131">
        <f>1+1</f>
        <v>2</v>
      </c>
      <c r="E234" s="393"/>
      <c r="F234" s="591"/>
    </row>
    <row r="235" spans="1:6" ht="15" customHeight="1" x14ac:dyDescent="0.3">
      <c r="A235" s="64" t="s">
        <v>33</v>
      </c>
      <c r="B235" s="127" t="s">
        <v>358</v>
      </c>
      <c r="C235" s="60" t="s">
        <v>6</v>
      </c>
      <c r="D235" s="219"/>
      <c r="E235" s="393"/>
      <c r="F235" s="591"/>
    </row>
    <row r="236" spans="1:6" ht="24.9" customHeight="1" x14ac:dyDescent="0.3">
      <c r="A236" s="66" t="s">
        <v>359</v>
      </c>
      <c r="B236" s="69" t="s">
        <v>353</v>
      </c>
      <c r="C236" s="62" t="s">
        <v>18</v>
      </c>
      <c r="D236" s="70">
        <v>5</v>
      </c>
      <c r="E236" s="383"/>
      <c r="F236" s="591"/>
    </row>
    <row r="237" spans="1:6" ht="24.9" customHeight="1" x14ac:dyDescent="0.3">
      <c r="A237" s="66" t="s">
        <v>360</v>
      </c>
      <c r="B237" s="69" t="s">
        <v>352</v>
      </c>
      <c r="C237" s="62" t="s">
        <v>18</v>
      </c>
      <c r="D237" s="70">
        <v>1</v>
      </c>
      <c r="E237" s="383"/>
      <c r="F237" s="591"/>
    </row>
    <row r="238" spans="1:6" ht="24.9" customHeight="1" x14ac:dyDescent="0.3">
      <c r="A238" s="66" t="s">
        <v>361</v>
      </c>
      <c r="B238" s="69" t="s">
        <v>351</v>
      </c>
      <c r="C238" s="62" t="s">
        <v>18</v>
      </c>
      <c r="D238" s="70">
        <v>2</v>
      </c>
      <c r="E238" s="383"/>
      <c r="F238" s="591"/>
    </row>
    <row r="239" spans="1:6" ht="15" customHeight="1" x14ac:dyDescent="0.3">
      <c r="A239" s="64" t="s">
        <v>34</v>
      </c>
      <c r="B239" s="111" t="s">
        <v>50</v>
      </c>
      <c r="C239" s="60"/>
      <c r="D239" s="131"/>
      <c r="E239" s="393"/>
      <c r="F239" s="591"/>
    </row>
    <row r="240" spans="1:6" ht="24.9" customHeight="1" x14ac:dyDescent="0.3">
      <c r="A240" s="65" t="s">
        <v>68</v>
      </c>
      <c r="B240" s="69" t="s">
        <v>364</v>
      </c>
      <c r="C240" s="163" t="s">
        <v>131</v>
      </c>
      <c r="D240" s="70">
        <f>2*2.8</f>
        <v>5.6</v>
      </c>
      <c r="E240" s="383"/>
      <c r="F240" s="591"/>
    </row>
    <row r="241" spans="1:6" ht="15" customHeight="1" thickBot="1" x14ac:dyDescent="0.35">
      <c r="A241" s="700"/>
      <c r="B241" s="717"/>
      <c r="C241" s="718"/>
      <c r="D241" s="719"/>
      <c r="E241" s="207"/>
      <c r="F241" s="115"/>
    </row>
    <row r="242" spans="1:6" ht="15" customHeight="1" thickBot="1" x14ac:dyDescent="0.35">
      <c r="A242" s="767" t="s">
        <v>366</v>
      </c>
      <c r="B242" s="768"/>
      <c r="C242" s="768"/>
      <c r="D242" s="768"/>
      <c r="E242" s="768"/>
      <c r="F242" s="586"/>
    </row>
    <row r="243" spans="1:6" ht="15" customHeight="1" x14ac:dyDescent="0.3">
      <c r="A243" s="54"/>
      <c r="B243" s="111"/>
      <c r="C243" s="60"/>
      <c r="D243" s="218"/>
      <c r="E243" s="80"/>
      <c r="F243" s="112"/>
    </row>
    <row r="244" spans="1:6" ht="15" customHeight="1" x14ac:dyDescent="0.3">
      <c r="A244" s="58" t="s">
        <v>367</v>
      </c>
      <c r="B244" s="99" t="s">
        <v>368</v>
      </c>
      <c r="C244" s="60"/>
      <c r="D244" s="131"/>
      <c r="E244" s="51"/>
      <c r="F244" s="89"/>
    </row>
    <row r="245" spans="1:6" ht="15" customHeight="1" x14ac:dyDescent="0.3">
      <c r="A245" s="54"/>
      <c r="B245" s="111"/>
      <c r="C245" s="60"/>
      <c r="D245" s="218"/>
      <c r="E245" s="80"/>
      <c r="F245" s="112"/>
    </row>
    <row r="246" spans="1:6" ht="15" customHeight="1" x14ac:dyDescent="0.3">
      <c r="A246" s="64" t="s">
        <v>64</v>
      </c>
      <c r="B246" s="111" t="s">
        <v>369</v>
      </c>
      <c r="C246" s="60"/>
      <c r="D246" s="218"/>
      <c r="E246" s="80"/>
      <c r="F246" s="119"/>
    </row>
    <row r="247" spans="1:6" ht="24.9" customHeight="1" x14ac:dyDescent="0.3">
      <c r="A247" s="66" t="s">
        <v>65</v>
      </c>
      <c r="B247" s="69" t="s">
        <v>370</v>
      </c>
      <c r="C247" s="163" t="s">
        <v>131</v>
      </c>
      <c r="D247" s="70">
        <f>+D219</f>
        <v>43.07</v>
      </c>
      <c r="E247" s="383"/>
      <c r="F247" s="591"/>
    </row>
    <row r="248" spans="1:6" ht="15" customHeight="1" x14ac:dyDescent="0.3">
      <c r="A248" s="64" t="s">
        <v>66</v>
      </c>
      <c r="B248" s="111" t="s">
        <v>704</v>
      </c>
      <c r="C248" s="60"/>
      <c r="D248" s="131"/>
      <c r="E248" s="393"/>
      <c r="F248" s="591"/>
    </row>
    <row r="249" spans="1:6" ht="24.9" customHeight="1" x14ac:dyDescent="0.3">
      <c r="A249" s="66" t="s">
        <v>67</v>
      </c>
      <c r="B249" s="69" t="s">
        <v>672</v>
      </c>
      <c r="C249" s="163" t="s">
        <v>131</v>
      </c>
      <c r="D249" s="70">
        <f>(4*5.89+2*6.78)*0.6</f>
        <v>22.271999999999998</v>
      </c>
      <c r="E249" s="383"/>
      <c r="F249" s="591"/>
    </row>
    <row r="250" spans="1:6" ht="15" customHeight="1" thickBot="1" x14ac:dyDescent="0.35">
      <c r="A250" s="64"/>
      <c r="B250" s="111"/>
      <c r="C250" s="60"/>
      <c r="D250" s="218"/>
      <c r="E250" s="80"/>
      <c r="F250" s="119"/>
    </row>
    <row r="251" spans="1:6" ht="15" customHeight="1" thickBot="1" x14ac:dyDescent="0.35">
      <c r="A251" s="767" t="s">
        <v>371</v>
      </c>
      <c r="B251" s="768"/>
      <c r="C251" s="768"/>
      <c r="D251" s="768"/>
      <c r="E251" s="768"/>
      <c r="F251" s="586"/>
    </row>
    <row r="252" spans="1:6" ht="15" customHeight="1" x14ac:dyDescent="0.3">
      <c r="A252" s="64"/>
      <c r="B252" s="111"/>
      <c r="C252" s="60"/>
      <c r="D252" s="218"/>
      <c r="E252" s="80"/>
      <c r="F252" s="119"/>
    </row>
    <row r="253" spans="1:6" ht="15" customHeight="1" x14ac:dyDescent="0.3">
      <c r="A253" s="58" t="s">
        <v>372</v>
      </c>
      <c r="B253" s="99" t="s">
        <v>373</v>
      </c>
      <c r="C253" s="60"/>
      <c r="D253" s="131"/>
      <c r="E253" s="51"/>
      <c r="F253" s="89"/>
    </row>
    <row r="254" spans="1:6" ht="15" customHeight="1" x14ac:dyDescent="0.3">
      <c r="A254" s="64"/>
      <c r="B254" s="111"/>
      <c r="C254" s="60"/>
      <c r="D254" s="218"/>
      <c r="E254" s="80"/>
      <c r="F254" s="119"/>
    </row>
    <row r="255" spans="1:6" ht="15" customHeight="1" x14ac:dyDescent="0.3">
      <c r="A255" s="64" t="s">
        <v>35</v>
      </c>
      <c r="B255" s="111" t="s">
        <v>374</v>
      </c>
      <c r="C255" s="60" t="s">
        <v>6</v>
      </c>
      <c r="D255" s="131"/>
      <c r="E255" s="80"/>
      <c r="F255" s="119"/>
    </row>
    <row r="256" spans="1:6" ht="15" customHeight="1" x14ac:dyDescent="0.3">
      <c r="A256" s="64" t="s">
        <v>56</v>
      </c>
      <c r="B256" s="127" t="s">
        <v>376</v>
      </c>
      <c r="C256" s="60"/>
      <c r="D256" s="131"/>
      <c r="E256" s="80"/>
      <c r="F256" s="119"/>
    </row>
    <row r="257" spans="1:6" ht="15" customHeight="1" x14ac:dyDescent="0.3">
      <c r="A257" s="65" t="s">
        <v>377</v>
      </c>
      <c r="B257" s="113" t="s">
        <v>375</v>
      </c>
      <c r="C257" s="163" t="s">
        <v>131</v>
      </c>
      <c r="D257" s="131">
        <f>+D69+D70</f>
        <v>278.11599999999999</v>
      </c>
      <c r="E257" s="393"/>
      <c r="F257" s="591"/>
    </row>
    <row r="258" spans="1:6" ht="15" customHeight="1" x14ac:dyDescent="0.3">
      <c r="A258" s="64" t="s">
        <v>36</v>
      </c>
      <c r="B258" s="111" t="s">
        <v>378</v>
      </c>
      <c r="C258" s="60"/>
      <c r="D258" s="131"/>
      <c r="E258" s="393"/>
      <c r="F258" s="591"/>
    </row>
    <row r="259" spans="1:6" ht="15" customHeight="1" x14ac:dyDescent="0.3">
      <c r="A259" s="64" t="s">
        <v>59</v>
      </c>
      <c r="B259" s="127" t="s">
        <v>379</v>
      </c>
      <c r="C259" s="60"/>
      <c r="D259" s="131"/>
      <c r="E259" s="393"/>
      <c r="F259" s="591"/>
    </row>
    <row r="260" spans="1:6" ht="15" customHeight="1" x14ac:dyDescent="0.3">
      <c r="A260" s="65" t="s">
        <v>380</v>
      </c>
      <c r="B260" s="113" t="s">
        <v>383</v>
      </c>
      <c r="C260" s="163" t="s">
        <v>131</v>
      </c>
      <c r="D260" s="131">
        <f>+D70+2*6.4*0.6</f>
        <v>187.96600000000001</v>
      </c>
      <c r="E260" s="393"/>
      <c r="F260" s="591"/>
    </row>
    <row r="261" spans="1:6" ht="15" customHeight="1" x14ac:dyDescent="0.3">
      <c r="A261" s="64" t="s">
        <v>60</v>
      </c>
      <c r="B261" s="127" t="s">
        <v>382</v>
      </c>
      <c r="C261" s="60"/>
      <c r="D261" s="131"/>
      <c r="E261" s="393"/>
      <c r="F261" s="591"/>
    </row>
    <row r="262" spans="1:6" ht="15" customHeight="1" x14ac:dyDescent="0.3">
      <c r="A262" s="65" t="s">
        <v>569</v>
      </c>
      <c r="B262" s="113" t="s">
        <v>384</v>
      </c>
      <c r="C262" s="163" t="s">
        <v>131</v>
      </c>
      <c r="D262" s="131">
        <f>+D69</f>
        <v>97.83</v>
      </c>
      <c r="E262" s="393"/>
      <c r="F262" s="591"/>
    </row>
    <row r="263" spans="1:6" ht="15" customHeight="1" x14ac:dyDescent="0.3">
      <c r="A263" s="64" t="s">
        <v>43</v>
      </c>
      <c r="B263" s="111" t="s">
        <v>385</v>
      </c>
      <c r="C263" s="60"/>
      <c r="D263" s="131"/>
      <c r="E263" s="393"/>
      <c r="F263" s="591"/>
    </row>
    <row r="264" spans="1:6" ht="15" customHeight="1" x14ac:dyDescent="0.3">
      <c r="A264" s="64" t="s">
        <v>61</v>
      </c>
      <c r="B264" s="127" t="s">
        <v>431</v>
      </c>
      <c r="C264" s="60"/>
      <c r="D264" s="131"/>
      <c r="E264" s="393"/>
      <c r="F264" s="591"/>
    </row>
    <row r="265" spans="1:6" ht="15" customHeight="1" x14ac:dyDescent="0.3">
      <c r="A265" s="66" t="s">
        <v>390</v>
      </c>
      <c r="B265" s="69" t="s">
        <v>384</v>
      </c>
      <c r="C265" s="163" t="s">
        <v>131</v>
      </c>
      <c r="D265" s="70">
        <f>2.2*2*(1+2*0.9+2*0.8)+2*(0.03*2*1.14)+0.54*4*0.18*2+2*(0.03*5*2.34)+1.14*4*0.18*5+2*(0.03*2.14)+0.94*4*0.18</f>
        <v>25.885600000000004</v>
      </c>
      <c r="E265" s="383"/>
      <c r="F265" s="591"/>
    </row>
    <row r="266" spans="1:6" ht="15" customHeight="1" x14ac:dyDescent="0.3">
      <c r="A266" s="82" t="s">
        <v>62</v>
      </c>
      <c r="B266" s="130" t="s">
        <v>392</v>
      </c>
      <c r="C266" s="62"/>
      <c r="D266" s="70"/>
      <c r="E266" s="383"/>
      <c r="F266" s="591"/>
    </row>
    <row r="267" spans="1:6" ht="15" customHeight="1" x14ac:dyDescent="0.3">
      <c r="A267" s="66" t="s">
        <v>391</v>
      </c>
      <c r="B267" s="69" t="s">
        <v>383</v>
      </c>
      <c r="C267" s="163" t="s">
        <v>131</v>
      </c>
      <c r="D267" s="70">
        <f>+D247+D249+(4*5.89+2*6.78)*0.3</f>
        <v>76.477999999999994</v>
      </c>
      <c r="E267" s="383"/>
      <c r="F267" s="591"/>
    </row>
    <row r="268" spans="1:6" ht="15" customHeight="1" x14ac:dyDescent="0.3">
      <c r="A268" s="64" t="s">
        <v>63</v>
      </c>
      <c r="B268" s="127" t="s">
        <v>388</v>
      </c>
      <c r="C268" s="60"/>
      <c r="D268" s="131"/>
      <c r="E268" s="393"/>
      <c r="F268" s="591"/>
    </row>
    <row r="269" spans="1:6" ht="15" customHeight="1" x14ac:dyDescent="0.3">
      <c r="A269" s="65" t="s">
        <v>394</v>
      </c>
      <c r="B269" s="69" t="s">
        <v>683</v>
      </c>
      <c r="C269" s="163" t="s">
        <v>131</v>
      </c>
      <c r="D269" s="131">
        <f>+D97+D98+D99</f>
        <v>12.759999999999998</v>
      </c>
      <c r="E269" s="393"/>
      <c r="F269" s="591"/>
    </row>
    <row r="270" spans="1:6" ht="15" customHeight="1" x14ac:dyDescent="0.3">
      <c r="A270" s="65" t="s">
        <v>603</v>
      </c>
      <c r="B270" s="69" t="s">
        <v>686</v>
      </c>
      <c r="C270" s="163" t="s">
        <v>131</v>
      </c>
      <c r="D270" s="392">
        <f>+D269</f>
        <v>12.759999999999998</v>
      </c>
      <c r="E270" s="393"/>
      <c r="F270" s="591"/>
    </row>
    <row r="271" spans="1:6" ht="15" customHeight="1" x14ac:dyDescent="0.3">
      <c r="A271" s="396" t="s">
        <v>487</v>
      </c>
      <c r="B271" s="111" t="s">
        <v>171</v>
      </c>
      <c r="C271" s="60"/>
      <c r="D271" s="392"/>
      <c r="E271" s="393"/>
      <c r="F271" s="591"/>
    </row>
    <row r="272" spans="1:6" ht="24.9" customHeight="1" x14ac:dyDescent="0.3">
      <c r="A272" s="410" t="s">
        <v>488</v>
      </c>
      <c r="B272" s="69" t="s">
        <v>712</v>
      </c>
      <c r="C272" s="62" t="s">
        <v>54</v>
      </c>
      <c r="D272" s="387">
        <v>1</v>
      </c>
      <c r="E272" s="383"/>
      <c r="F272" s="591"/>
    </row>
    <row r="273" spans="1:6" ht="15" customHeight="1" thickBot="1" x14ac:dyDescent="0.35">
      <c r="A273" s="77"/>
      <c r="B273" s="81"/>
      <c r="C273" s="139"/>
      <c r="D273" s="206"/>
      <c r="E273" s="207"/>
      <c r="F273" s="121"/>
    </row>
    <row r="274" spans="1:6" ht="15" customHeight="1" thickBot="1" x14ac:dyDescent="0.35">
      <c r="A274" s="767" t="s">
        <v>395</v>
      </c>
      <c r="B274" s="768"/>
      <c r="C274" s="768"/>
      <c r="D274" s="768"/>
      <c r="E274" s="768"/>
      <c r="F274" s="586"/>
    </row>
    <row r="275" spans="1:6" ht="15" customHeight="1" x14ac:dyDescent="0.3">
      <c r="A275" s="140"/>
      <c r="B275" s="141"/>
      <c r="C275" s="141"/>
      <c r="D275" s="141"/>
      <c r="E275" s="141"/>
      <c r="F275" s="596"/>
    </row>
    <row r="276" spans="1:6" ht="15" customHeight="1" x14ac:dyDescent="0.3">
      <c r="A276" s="58" t="s">
        <v>396</v>
      </c>
      <c r="B276" s="99" t="s">
        <v>397</v>
      </c>
      <c r="C276" s="60"/>
      <c r="D276" s="131"/>
      <c r="E276" s="51"/>
      <c r="F276" s="89"/>
    </row>
    <row r="277" spans="1:6" ht="15" customHeight="1" x14ac:dyDescent="0.3">
      <c r="A277" s="64"/>
      <c r="B277" s="111"/>
      <c r="C277" s="60"/>
      <c r="D277" s="218"/>
      <c r="E277" s="80"/>
      <c r="F277" s="119"/>
    </row>
    <row r="278" spans="1:6" s="504" customFormat="1" ht="15" customHeight="1" x14ac:dyDescent="0.3">
      <c r="A278" s="64" t="s">
        <v>400</v>
      </c>
      <c r="B278" s="111" t="s">
        <v>398</v>
      </c>
      <c r="C278" s="60" t="s">
        <v>6</v>
      </c>
      <c r="D278" s="131"/>
      <c r="E278" s="80"/>
      <c r="F278" s="119"/>
    </row>
    <row r="279" spans="1:6" s="504" customFormat="1" ht="15" customHeight="1" x14ac:dyDescent="0.3">
      <c r="A279" s="64" t="s">
        <v>401</v>
      </c>
      <c r="B279" s="127" t="s">
        <v>399</v>
      </c>
      <c r="C279" s="60"/>
      <c r="D279" s="131"/>
      <c r="E279" s="80"/>
      <c r="F279" s="119"/>
    </row>
    <row r="280" spans="1:6" ht="24.9" customHeight="1" x14ac:dyDescent="0.3">
      <c r="A280" s="66" t="s">
        <v>402</v>
      </c>
      <c r="B280" s="69" t="s">
        <v>730</v>
      </c>
      <c r="C280" s="163" t="s">
        <v>137</v>
      </c>
      <c r="D280" s="70">
        <f>0.15*0.1*12*6.78</f>
        <v>1.2203999999999999</v>
      </c>
      <c r="E280" s="383"/>
      <c r="F280" s="591"/>
    </row>
    <row r="281" spans="1:6" ht="24.9" customHeight="1" x14ac:dyDescent="0.3">
      <c r="A281" s="65" t="s">
        <v>403</v>
      </c>
      <c r="B281" s="69" t="s">
        <v>716</v>
      </c>
      <c r="C281" s="62" t="s">
        <v>15</v>
      </c>
      <c r="D281" s="70">
        <f>4*5.89+2*6.78</f>
        <v>37.119999999999997</v>
      </c>
      <c r="E281" s="383"/>
      <c r="F281" s="591"/>
    </row>
    <row r="282" spans="1:6" ht="15" customHeight="1" thickBot="1" x14ac:dyDescent="0.35">
      <c r="A282" s="68"/>
      <c r="B282" s="132"/>
      <c r="C282" s="142"/>
      <c r="D282" s="221"/>
      <c r="E282" s="222"/>
      <c r="F282" s="143"/>
    </row>
    <row r="283" spans="1:6" ht="15" customHeight="1" thickBot="1" x14ac:dyDescent="0.35">
      <c r="A283" s="767" t="s">
        <v>404</v>
      </c>
      <c r="B283" s="768"/>
      <c r="C283" s="768"/>
      <c r="D283" s="768"/>
      <c r="E283" s="768"/>
      <c r="F283" s="586"/>
    </row>
    <row r="284" spans="1:6" ht="15" customHeight="1" x14ac:dyDescent="0.3">
      <c r="A284" s="140"/>
      <c r="B284" s="141"/>
      <c r="C284" s="141"/>
      <c r="D284" s="141"/>
      <c r="E284" s="141"/>
      <c r="F284" s="118"/>
    </row>
    <row r="285" spans="1:6" ht="15" customHeight="1" x14ac:dyDescent="0.3">
      <c r="A285" s="58" t="s">
        <v>405</v>
      </c>
      <c r="B285" s="99" t="s">
        <v>408</v>
      </c>
      <c r="C285" s="60"/>
      <c r="D285" s="131"/>
      <c r="E285" s="615"/>
      <c r="F285" s="614"/>
    </row>
    <row r="286" spans="1:6" ht="15" customHeight="1" x14ac:dyDescent="0.3">
      <c r="A286" s="64"/>
      <c r="B286" s="111"/>
      <c r="C286" s="60"/>
      <c r="D286" s="218"/>
      <c r="E286" s="80"/>
      <c r="F286" s="119"/>
    </row>
    <row r="287" spans="1:6" ht="15" customHeight="1" x14ac:dyDescent="0.3">
      <c r="A287" s="64" t="s">
        <v>46</v>
      </c>
      <c r="B287" s="111" t="s">
        <v>409</v>
      </c>
      <c r="C287" s="60" t="s">
        <v>6</v>
      </c>
      <c r="D287" s="131"/>
      <c r="E287" s="80"/>
      <c r="F287" s="119"/>
    </row>
    <row r="288" spans="1:6" ht="15" customHeight="1" x14ac:dyDescent="0.3">
      <c r="A288" s="64" t="s">
        <v>55</v>
      </c>
      <c r="B288" s="127" t="s">
        <v>538</v>
      </c>
      <c r="C288" s="60"/>
      <c r="D288" s="131"/>
      <c r="E288" s="80"/>
      <c r="F288" s="119"/>
    </row>
    <row r="289" spans="1:6" ht="15" customHeight="1" x14ac:dyDescent="0.3">
      <c r="A289" s="66" t="s">
        <v>406</v>
      </c>
      <c r="B289" s="69" t="s">
        <v>433</v>
      </c>
      <c r="C289" s="163" t="s">
        <v>131</v>
      </c>
      <c r="D289" s="70">
        <f>2*(6.1*6.78)</f>
        <v>82.715999999999994</v>
      </c>
      <c r="E289" s="383"/>
      <c r="F289" s="591"/>
    </row>
    <row r="290" spans="1:6" ht="15" customHeight="1" x14ac:dyDescent="0.3">
      <c r="A290" s="65" t="s">
        <v>407</v>
      </c>
      <c r="B290" s="69" t="s">
        <v>434</v>
      </c>
      <c r="C290" s="62" t="s">
        <v>15</v>
      </c>
      <c r="D290" s="70">
        <v>6.78</v>
      </c>
      <c r="E290" s="383"/>
      <c r="F290" s="591"/>
    </row>
    <row r="291" spans="1:6" ht="15" customHeight="1" thickBot="1" x14ac:dyDescent="0.35">
      <c r="A291" s="68"/>
      <c r="B291" s="132"/>
      <c r="C291" s="142"/>
      <c r="D291" s="221"/>
      <c r="E291" s="222"/>
      <c r="F291" s="143"/>
    </row>
    <row r="292" spans="1:6" ht="15" customHeight="1" thickBot="1" x14ac:dyDescent="0.35">
      <c r="A292" s="767" t="s">
        <v>410</v>
      </c>
      <c r="B292" s="768"/>
      <c r="C292" s="768"/>
      <c r="D292" s="768"/>
      <c r="E292" s="768"/>
      <c r="F292" s="586"/>
    </row>
    <row r="293" spans="1:6" ht="15" customHeight="1" thickBot="1" x14ac:dyDescent="0.35">
      <c r="A293" s="703"/>
      <c r="B293" s="720"/>
      <c r="C293" s="67"/>
      <c r="D293" s="721"/>
      <c r="E293" s="722"/>
      <c r="F293" s="723"/>
    </row>
    <row r="294" spans="1:6" ht="24.9" customHeight="1" thickTop="1" thickBot="1" x14ac:dyDescent="0.35">
      <c r="A294" s="769" t="s">
        <v>689</v>
      </c>
      <c r="B294" s="770"/>
      <c r="C294" s="770"/>
      <c r="D294" s="770"/>
      <c r="E294" s="771"/>
      <c r="F294" s="772"/>
    </row>
    <row r="295" spans="1:6" ht="15" customHeight="1" thickTop="1" x14ac:dyDescent="0.3">
      <c r="A295" s="53"/>
      <c r="B295" s="45"/>
      <c r="C295" s="45"/>
      <c r="D295" s="45"/>
      <c r="E295" s="45"/>
      <c r="F295" s="45"/>
    </row>
    <row r="296" spans="1:6" ht="15" customHeight="1" x14ac:dyDescent="0.3">
      <c r="A296" s="53"/>
      <c r="B296" s="45"/>
      <c r="C296" s="45"/>
      <c r="D296" s="45"/>
      <c r="E296" s="45"/>
      <c r="F296" s="45"/>
    </row>
    <row r="297" spans="1:6" ht="15" customHeight="1" x14ac:dyDescent="0.3">
      <c r="A297" s="53"/>
      <c r="B297" s="45"/>
      <c r="C297" s="45"/>
      <c r="D297" s="45"/>
      <c r="E297" s="45"/>
      <c r="F297" s="45"/>
    </row>
    <row r="298" spans="1:6" ht="15" customHeight="1" x14ac:dyDescent="0.3">
      <c r="A298" s="53"/>
      <c r="B298" s="45"/>
      <c r="C298" s="45"/>
      <c r="D298" s="45"/>
      <c r="E298" s="45"/>
      <c r="F298" s="45"/>
    </row>
    <row r="299" spans="1:6" ht="15" customHeight="1" x14ac:dyDescent="0.3">
      <c r="A299" s="53"/>
      <c r="B299" s="45"/>
      <c r="C299" s="45"/>
      <c r="D299" s="45"/>
      <c r="E299" s="45"/>
      <c r="F299" s="45"/>
    </row>
    <row r="300" spans="1:6" ht="15" customHeight="1" x14ac:dyDescent="0.3">
      <c r="A300" s="53"/>
      <c r="B300" s="45"/>
      <c r="C300" s="45"/>
      <c r="D300" s="45"/>
      <c r="E300" s="45"/>
      <c r="F300" s="45"/>
    </row>
    <row r="301" spans="1:6" ht="24.9" customHeight="1" x14ac:dyDescent="0.3">
      <c r="A301" s="53"/>
      <c r="B301" s="45"/>
      <c r="C301" s="45"/>
      <c r="D301" s="45"/>
      <c r="E301" s="45"/>
      <c r="F301" s="45"/>
    </row>
    <row r="302" spans="1:6" ht="15" customHeight="1" x14ac:dyDescent="0.3">
      <c r="A302" s="53"/>
      <c r="B302" s="45"/>
      <c r="C302" s="45"/>
      <c r="D302" s="45"/>
      <c r="E302" s="45"/>
      <c r="F302" s="45"/>
    </row>
    <row r="303" spans="1:6" ht="15" customHeight="1" thickBot="1" x14ac:dyDescent="0.35">
      <c r="A303" s="53"/>
      <c r="B303" s="45"/>
      <c r="C303" s="45"/>
      <c r="D303" s="45"/>
      <c r="E303" s="45"/>
      <c r="F303" s="45"/>
    </row>
    <row r="304" spans="1:6" ht="28.5" customHeight="1" x14ac:dyDescent="0.3">
      <c r="A304" s="775" t="s">
        <v>701</v>
      </c>
      <c r="B304" s="776"/>
      <c r="C304" s="776"/>
      <c r="D304" s="776"/>
      <c r="E304" s="776"/>
      <c r="F304" s="777"/>
    </row>
    <row r="305" spans="1:6" ht="15" customHeight="1" thickBot="1" x14ac:dyDescent="0.35">
      <c r="A305" s="149"/>
      <c r="B305" s="150"/>
      <c r="C305" s="150"/>
      <c r="D305" s="150"/>
      <c r="E305" s="150"/>
      <c r="F305" s="151"/>
    </row>
    <row r="306" spans="1:6" ht="24.9" customHeight="1" thickTop="1" thickBot="1" x14ac:dyDescent="0.35">
      <c r="A306" s="153" t="s">
        <v>38</v>
      </c>
      <c r="B306" s="778" t="s">
        <v>39</v>
      </c>
      <c r="C306" s="778"/>
      <c r="D306" s="778"/>
      <c r="E306" s="778" t="s">
        <v>411</v>
      </c>
      <c r="F306" s="787"/>
    </row>
    <row r="307" spans="1:6" ht="15" customHeight="1" thickTop="1" x14ac:dyDescent="0.3">
      <c r="A307" s="152"/>
      <c r="B307" s="779"/>
      <c r="C307" s="779"/>
      <c r="D307" s="779"/>
      <c r="E307" s="788"/>
      <c r="F307" s="789"/>
    </row>
    <row r="308" spans="1:6" ht="15" customHeight="1" x14ac:dyDescent="0.3">
      <c r="A308" s="224" t="s">
        <v>143</v>
      </c>
      <c r="B308" s="773" t="s">
        <v>95</v>
      </c>
      <c r="C308" s="773"/>
      <c r="D308" s="773"/>
      <c r="E308" s="780"/>
      <c r="F308" s="781"/>
    </row>
    <row r="309" spans="1:6" ht="15" customHeight="1" x14ac:dyDescent="0.3">
      <c r="A309" s="225" t="s">
        <v>144</v>
      </c>
      <c r="B309" s="774" t="s">
        <v>100</v>
      </c>
      <c r="C309" s="774"/>
      <c r="D309" s="774"/>
      <c r="E309" s="780"/>
      <c r="F309" s="781"/>
    </row>
    <row r="310" spans="1:6" ht="15" customHeight="1" x14ac:dyDescent="0.3">
      <c r="A310" s="226" t="s">
        <v>136</v>
      </c>
      <c r="B310" s="792" t="s">
        <v>103</v>
      </c>
      <c r="C310" s="793"/>
      <c r="D310" s="794"/>
      <c r="E310" s="795"/>
      <c r="F310" s="796"/>
    </row>
    <row r="311" spans="1:6" ht="15" customHeight="1" x14ac:dyDescent="0.3">
      <c r="A311" s="226" t="s">
        <v>176</v>
      </c>
      <c r="B311" s="792" t="s">
        <v>177</v>
      </c>
      <c r="C311" s="793"/>
      <c r="D311" s="794"/>
      <c r="E311" s="795"/>
      <c r="F311" s="796"/>
    </row>
    <row r="312" spans="1:6" ht="15" customHeight="1" x14ac:dyDescent="0.3">
      <c r="A312" s="226" t="s">
        <v>182</v>
      </c>
      <c r="B312" s="792" t="s">
        <v>656</v>
      </c>
      <c r="C312" s="793"/>
      <c r="D312" s="794"/>
      <c r="E312" s="795"/>
      <c r="F312" s="796"/>
    </row>
    <row r="313" spans="1:6" ht="15" customHeight="1" x14ac:dyDescent="0.3">
      <c r="A313" s="226" t="s">
        <v>183</v>
      </c>
      <c r="B313" s="792" t="s">
        <v>184</v>
      </c>
      <c r="C313" s="793"/>
      <c r="D313" s="794"/>
      <c r="E313" s="795"/>
      <c r="F313" s="796"/>
    </row>
    <row r="314" spans="1:6" ht="15" customHeight="1" x14ac:dyDescent="0.3">
      <c r="A314" s="226" t="s">
        <v>195</v>
      </c>
      <c r="B314" s="792" t="s">
        <v>196</v>
      </c>
      <c r="C314" s="793"/>
      <c r="D314" s="794"/>
      <c r="E314" s="795"/>
      <c r="F314" s="796"/>
    </row>
    <row r="315" spans="1:6" ht="15" customHeight="1" x14ac:dyDescent="0.3">
      <c r="A315" s="226" t="s">
        <v>226</v>
      </c>
      <c r="B315" s="792" t="s">
        <v>227</v>
      </c>
      <c r="C315" s="793"/>
      <c r="D315" s="794"/>
      <c r="E315" s="795"/>
      <c r="F315" s="796"/>
    </row>
    <row r="316" spans="1:6" ht="15" customHeight="1" x14ac:dyDescent="0.3">
      <c r="A316" s="226" t="s">
        <v>249</v>
      </c>
      <c r="B316" s="792" t="s">
        <v>250</v>
      </c>
      <c r="C316" s="793"/>
      <c r="D316" s="794"/>
      <c r="E316" s="795"/>
      <c r="F316" s="796"/>
    </row>
    <row r="317" spans="1:6" ht="15" customHeight="1" x14ac:dyDescent="0.3">
      <c r="A317" s="226" t="s">
        <v>292</v>
      </c>
      <c r="B317" s="792" t="s">
        <v>293</v>
      </c>
      <c r="C317" s="793"/>
      <c r="D317" s="794"/>
      <c r="E317" s="795"/>
      <c r="F317" s="796"/>
    </row>
    <row r="318" spans="1:6" ht="15" customHeight="1" x14ac:dyDescent="0.3">
      <c r="A318" s="226" t="s">
        <v>309</v>
      </c>
      <c r="B318" s="792" t="s">
        <v>310</v>
      </c>
      <c r="C318" s="793"/>
      <c r="D318" s="794"/>
      <c r="E318" s="795"/>
      <c r="F318" s="796"/>
    </row>
    <row r="319" spans="1:6" ht="15" customHeight="1" x14ac:dyDescent="0.3">
      <c r="A319" s="226" t="s">
        <v>327</v>
      </c>
      <c r="B319" s="792" t="s">
        <v>328</v>
      </c>
      <c r="C319" s="793"/>
      <c r="D319" s="794"/>
      <c r="E319" s="795"/>
      <c r="F319" s="796"/>
    </row>
    <row r="320" spans="1:6" ht="15" customHeight="1" x14ac:dyDescent="0.3">
      <c r="A320" s="226" t="s">
        <v>334</v>
      </c>
      <c r="B320" s="792" t="s">
        <v>335</v>
      </c>
      <c r="C320" s="793"/>
      <c r="D320" s="794"/>
      <c r="E320" s="795"/>
      <c r="F320" s="796"/>
    </row>
    <row r="321" spans="1:6" ht="15" customHeight="1" x14ac:dyDescent="0.3">
      <c r="A321" s="226" t="s">
        <v>349</v>
      </c>
      <c r="B321" s="792" t="s">
        <v>350</v>
      </c>
      <c r="C321" s="793"/>
      <c r="D321" s="794"/>
      <c r="E321" s="795"/>
      <c r="F321" s="796"/>
    </row>
    <row r="322" spans="1:6" ht="15" customHeight="1" x14ac:dyDescent="0.3">
      <c r="A322" s="226" t="s">
        <v>367</v>
      </c>
      <c r="B322" s="792" t="s">
        <v>368</v>
      </c>
      <c r="C322" s="793"/>
      <c r="D322" s="794"/>
      <c r="E322" s="795"/>
      <c r="F322" s="796"/>
    </row>
    <row r="323" spans="1:6" ht="15" customHeight="1" x14ac:dyDescent="0.3">
      <c r="A323" s="226" t="s">
        <v>372</v>
      </c>
      <c r="B323" s="792" t="s">
        <v>373</v>
      </c>
      <c r="C323" s="793"/>
      <c r="D323" s="794"/>
      <c r="E323" s="795"/>
      <c r="F323" s="796"/>
    </row>
    <row r="324" spans="1:6" ht="15" customHeight="1" x14ac:dyDescent="0.3">
      <c r="A324" s="226" t="s">
        <v>396</v>
      </c>
      <c r="B324" s="792" t="s">
        <v>397</v>
      </c>
      <c r="C324" s="793"/>
      <c r="D324" s="794"/>
      <c r="E324" s="795"/>
      <c r="F324" s="796"/>
    </row>
    <row r="325" spans="1:6" ht="15" customHeight="1" x14ac:dyDescent="0.3">
      <c r="A325" s="226" t="s">
        <v>405</v>
      </c>
      <c r="B325" s="792" t="s">
        <v>408</v>
      </c>
      <c r="C325" s="793"/>
      <c r="D325" s="794"/>
      <c r="E325" s="795"/>
      <c r="F325" s="796"/>
    </row>
    <row r="326" spans="1:6" ht="15" customHeight="1" thickBot="1" x14ac:dyDescent="0.35">
      <c r="A326" s="159"/>
      <c r="B326" s="797"/>
      <c r="C326" s="798"/>
      <c r="D326" s="799"/>
      <c r="E326" s="790"/>
      <c r="F326" s="791"/>
    </row>
    <row r="327" spans="1:6" ht="15" customHeight="1" thickTop="1" thickBot="1" x14ac:dyDescent="0.35">
      <c r="A327" s="782" t="s">
        <v>689</v>
      </c>
      <c r="B327" s="783"/>
      <c r="C327" s="783"/>
      <c r="D327" s="784"/>
      <c r="E327" s="785"/>
      <c r="F327" s="786"/>
    </row>
    <row r="328" spans="1:6" ht="15" customHeight="1" thickTop="1" x14ac:dyDescent="0.3"/>
  </sheetData>
  <mergeCells count="69">
    <mergeCell ref="A327:D327"/>
    <mergeCell ref="E327:F327"/>
    <mergeCell ref="B324:D324"/>
    <mergeCell ref="E324:F324"/>
    <mergeCell ref="B325:D325"/>
    <mergeCell ref="E325:F325"/>
    <mergeCell ref="B326:D326"/>
    <mergeCell ref="E326:F326"/>
    <mergeCell ref="B321:D321"/>
    <mergeCell ref="E321:F321"/>
    <mergeCell ref="B322:D322"/>
    <mergeCell ref="E322:F322"/>
    <mergeCell ref="B323:D323"/>
    <mergeCell ref="E323:F323"/>
    <mergeCell ref="B318:D318"/>
    <mergeCell ref="E318:F318"/>
    <mergeCell ref="B319:D319"/>
    <mergeCell ref="E319:F319"/>
    <mergeCell ref="B320:D320"/>
    <mergeCell ref="E320:F320"/>
    <mergeCell ref="B315:D315"/>
    <mergeCell ref="E315:F315"/>
    <mergeCell ref="B316:D316"/>
    <mergeCell ref="E316:F316"/>
    <mergeCell ref="B317:D317"/>
    <mergeCell ref="E317:F317"/>
    <mergeCell ref="B312:D312"/>
    <mergeCell ref="E312:F312"/>
    <mergeCell ref="B313:D313"/>
    <mergeCell ref="E313:F313"/>
    <mergeCell ref="B314:D314"/>
    <mergeCell ref="E314:F314"/>
    <mergeCell ref="B309:D309"/>
    <mergeCell ref="E309:F309"/>
    <mergeCell ref="B310:D310"/>
    <mergeCell ref="E310:F310"/>
    <mergeCell ref="B311:D311"/>
    <mergeCell ref="E311:F311"/>
    <mergeCell ref="A129:E129"/>
    <mergeCell ref="B308:D308"/>
    <mergeCell ref="E308:F308"/>
    <mergeCell ref="A304:F304"/>
    <mergeCell ref="B306:D306"/>
    <mergeCell ref="E306:F306"/>
    <mergeCell ref="B307:D307"/>
    <mergeCell ref="E307:F307"/>
    <mergeCell ref="A292:E292"/>
    <mergeCell ref="A294:D294"/>
    <mergeCell ref="E294:F294"/>
    <mergeCell ref="A145:E145"/>
    <mergeCell ref="A179:E179"/>
    <mergeCell ref="A191:E191"/>
    <mergeCell ref="A205:E205"/>
    <mergeCell ref="A213:E213"/>
    <mergeCell ref="A75:E75"/>
    <mergeCell ref="A77:E77"/>
    <mergeCell ref="A85:E85"/>
    <mergeCell ref="A92:E92"/>
    <mergeCell ref="A101:E101"/>
    <mergeCell ref="A2:F2"/>
    <mergeCell ref="A3:F3"/>
    <mergeCell ref="A13:E13"/>
    <mergeCell ref="A27:E27"/>
    <mergeCell ref="A50:E50"/>
    <mergeCell ref="A226:E226"/>
    <mergeCell ref="A242:E242"/>
    <mergeCell ref="A251:E251"/>
    <mergeCell ref="A274:E274"/>
    <mergeCell ref="A283:E28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327"/>
  <sheetViews>
    <sheetView topLeftCell="A278" workbookViewId="0">
      <selection activeCell="E293" sqref="E293:F293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766" t="s">
        <v>492</v>
      </c>
      <c r="B2" s="766"/>
      <c r="C2" s="766"/>
      <c r="D2" s="766"/>
      <c r="E2" s="766"/>
      <c r="F2" s="766"/>
    </row>
    <row r="3" spans="1:6" ht="15.6" x14ac:dyDescent="0.3">
      <c r="A3" s="766" t="s">
        <v>495</v>
      </c>
      <c r="B3" s="766"/>
      <c r="C3" s="766"/>
      <c r="D3" s="766"/>
      <c r="E3" s="766"/>
      <c r="F3" s="766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ht="15" customHeight="1" x14ac:dyDescent="0.3">
      <c r="A9" s="42" t="s">
        <v>96</v>
      </c>
      <c r="B9" s="91" t="s">
        <v>88</v>
      </c>
      <c r="C9" s="50"/>
      <c r="D9" s="92"/>
      <c r="E9" s="51"/>
      <c r="F9" s="93"/>
    </row>
    <row r="10" spans="1:6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602"/>
      <c r="F10" s="603"/>
    </row>
    <row r="11" spans="1:6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602"/>
      <c r="F11" s="603"/>
    </row>
    <row r="12" spans="1:6" ht="15" customHeight="1" thickBot="1" x14ac:dyDescent="0.35">
      <c r="A12" s="42"/>
      <c r="B12" s="95"/>
      <c r="C12" s="50"/>
      <c r="D12" s="92"/>
      <c r="E12" s="587"/>
      <c r="F12" s="585"/>
    </row>
    <row r="13" spans="1:6" ht="15" customHeight="1" thickBot="1" x14ac:dyDescent="0.35">
      <c r="A13" s="767" t="s">
        <v>189</v>
      </c>
      <c r="B13" s="768"/>
      <c r="C13" s="768"/>
      <c r="D13" s="768"/>
      <c r="E13" s="768"/>
      <c r="F13" s="586"/>
    </row>
    <row r="14" spans="1:6" ht="15" customHeight="1" x14ac:dyDescent="0.3">
      <c r="A14" s="42"/>
      <c r="B14" s="95"/>
      <c r="C14" s="50"/>
      <c r="D14" s="92"/>
      <c r="E14" s="51"/>
      <c r="F14" s="93"/>
    </row>
    <row r="15" spans="1:6" ht="15" customHeight="1" x14ac:dyDescent="0.3">
      <c r="A15" s="57" t="s">
        <v>144</v>
      </c>
      <c r="B15" s="96" t="s">
        <v>100</v>
      </c>
      <c r="C15" s="50"/>
      <c r="D15" s="164"/>
      <c r="E15" s="51"/>
      <c r="F15" s="93"/>
    </row>
    <row r="16" spans="1:6" s="613" customFormat="1" ht="15" customHeight="1" x14ac:dyDescent="0.3">
      <c r="A16" s="57"/>
      <c r="B16" s="96"/>
      <c r="C16" s="50"/>
      <c r="D16" s="164"/>
      <c r="E16" s="51"/>
      <c r="F16" s="93"/>
    </row>
    <row r="17" spans="1:6" s="613" customFormat="1" ht="15" customHeight="1" x14ac:dyDescent="0.3">
      <c r="A17" s="42" t="s">
        <v>101</v>
      </c>
      <c r="B17" s="97" t="s">
        <v>540</v>
      </c>
      <c r="C17" s="50"/>
      <c r="D17" s="164"/>
      <c r="E17" s="51"/>
      <c r="F17" s="93"/>
    </row>
    <row r="18" spans="1:6" s="613" customFormat="1" ht="15" customHeight="1" x14ac:dyDescent="0.3">
      <c r="A18" s="481" t="s">
        <v>102</v>
      </c>
      <c r="B18" s="94" t="s">
        <v>544</v>
      </c>
      <c r="C18" s="161" t="s">
        <v>412</v>
      </c>
      <c r="D18" s="164">
        <f>15.74*11</f>
        <v>173.14000000000001</v>
      </c>
      <c r="E18" s="602"/>
      <c r="F18" s="603"/>
    </row>
    <row r="19" spans="1:6" s="613" customFormat="1" ht="15" customHeight="1" x14ac:dyDescent="0.3">
      <c r="A19" s="481" t="s">
        <v>543</v>
      </c>
      <c r="B19" s="94" t="s">
        <v>652</v>
      </c>
      <c r="C19" s="161" t="s">
        <v>412</v>
      </c>
      <c r="D19" s="164">
        <v>64.41</v>
      </c>
      <c r="E19" s="602"/>
      <c r="F19" s="603"/>
    </row>
    <row r="20" spans="1:6" ht="15" customHeight="1" x14ac:dyDescent="0.3">
      <c r="A20" s="44" t="s">
        <v>101</v>
      </c>
      <c r="B20" s="97" t="s">
        <v>110</v>
      </c>
      <c r="C20" s="162"/>
      <c r="D20" s="164"/>
      <c r="E20" s="51"/>
      <c r="F20" s="93"/>
    </row>
    <row r="21" spans="1:6" ht="15" customHeight="1" x14ac:dyDescent="0.3">
      <c r="A21" s="43" t="s">
        <v>102</v>
      </c>
      <c r="B21" s="94" t="s">
        <v>106</v>
      </c>
      <c r="C21" s="161" t="s">
        <v>413</v>
      </c>
      <c r="D21" s="164">
        <f>+(6*4+1.1*2+4.06+3.18*2+2.68*2+0.78+3.72+3.18)*0.8</f>
        <v>39.728000000000002</v>
      </c>
      <c r="E21" s="602"/>
      <c r="F21" s="603"/>
    </row>
    <row r="22" spans="1:6" ht="15" customHeight="1" x14ac:dyDescent="0.3">
      <c r="A22" s="44" t="s">
        <v>105</v>
      </c>
      <c r="B22" s="97" t="s">
        <v>111</v>
      </c>
      <c r="C22" s="162"/>
      <c r="D22" s="164"/>
      <c r="E22" s="602"/>
      <c r="F22" s="603"/>
    </row>
    <row r="23" spans="1:6" ht="15" customHeight="1" x14ac:dyDescent="0.3">
      <c r="A23" s="43" t="s">
        <v>109</v>
      </c>
      <c r="B23" s="94" t="s">
        <v>107</v>
      </c>
      <c r="C23" s="161" t="s">
        <v>413</v>
      </c>
      <c r="D23" s="164">
        <f>+D21-49.66*0.3</f>
        <v>24.830000000000005</v>
      </c>
      <c r="E23" s="602"/>
      <c r="F23" s="603"/>
    </row>
    <row r="24" spans="1:6" ht="15" customHeight="1" x14ac:dyDescent="0.3">
      <c r="A24" s="43" t="s">
        <v>417</v>
      </c>
      <c r="B24" s="94" t="s">
        <v>112</v>
      </c>
      <c r="C24" s="161" t="s">
        <v>413</v>
      </c>
      <c r="D24" s="164">
        <f>57.08*0.3</f>
        <v>17.123999999999999</v>
      </c>
      <c r="E24" s="602"/>
      <c r="F24" s="603"/>
    </row>
    <row r="25" spans="1:6" ht="15" customHeight="1" x14ac:dyDescent="0.3">
      <c r="A25" s="43" t="s">
        <v>418</v>
      </c>
      <c r="B25" s="94" t="s">
        <v>108</v>
      </c>
      <c r="C25" s="161" t="s">
        <v>412</v>
      </c>
      <c r="D25" s="164">
        <v>57.08</v>
      </c>
      <c r="E25" s="602"/>
      <c r="F25" s="603"/>
    </row>
    <row r="26" spans="1:6" ht="15" customHeight="1" thickBot="1" x14ac:dyDescent="0.35">
      <c r="A26" s="43"/>
      <c r="B26" s="94"/>
      <c r="C26" s="50"/>
      <c r="D26" s="164"/>
      <c r="E26" s="51"/>
      <c r="F26" s="93"/>
    </row>
    <row r="27" spans="1:6" ht="15" customHeight="1" thickBot="1" x14ac:dyDescent="0.35">
      <c r="A27" s="767" t="s">
        <v>190</v>
      </c>
      <c r="B27" s="768"/>
      <c r="C27" s="768"/>
      <c r="D27" s="768"/>
      <c r="E27" s="768"/>
      <c r="F27" s="586"/>
    </row>
    <row r="28" spans="1:6" ht="15" customHeight="1" x14ac:dyDescent="0.3">
      <c r="A28" s="42"/>
      <c r="B28" s="95"/>
      <c r="C28" s="50"/>
      <c r="D28" s="92"/>
      <c r="E28" s="51"/>
      <c r="F28" s="89"/>
    </row>
    <row r="29" spans="1:6" ht="15" customHeight="1" x14ac:dyDescent="0.3">
      <c r="A29" s="58" t="s">
        <v>136</v>
      </c>
      <c r="B29" s="99" t="s">
        <v>103</v>
      </c>
      <c r="C29" s="60"/>
      <c r="D29" s="131"/>
      <c r="E29" s="51"/>
      <c r="F29" s="89"/>
    </row>
    <row r="30" spans="1:6" ht="15" customHeight="1" x14ac:dyDescent="0.3">
      <c r="A30" s="54"/>
      <c r="B30" s="687"/>
      <c r="C30" s="60"/>
      <c r="D30" s="131"/>
      <c r="E30" s="51"/>
      <c r="F30" s="89"/>
    </row>
    <row r="31" spans="1:6" ht="15" customHeight="1" x14ac:dyDescent="0.3">
      <c r="A31" s="147" t="s">
        <v>4</v>
      </c>
      <c r="B31" s="175" t="s">
        <v>113</v>
      </c>
      <c r="C31" s="176"/>
      <c r="D31" s="177"/>
      <c r="E31" s="178"/>
      <c r="F31" s="101"/>
    </row>
    <row r="32" spans="1:6" ht="15" customHeight="1" x14ac:dyDescent="0.3">
      <c r="A32" s="147" t="s">
        <v>5</v>
      </c>
      <c r="B32" s="179" t="s">
        <v>114</v>
      </c>
      <c r="C32" s="163" t="s">
        <v>137</v>
      </c>
      <c r="D32" s="180">
        <f>49.66*0.05*0.6</f>
        <v>1.4898</v>
      </c>
      <c r="E32" s="181"/>
      <c r="F32" s="106"/>
    </row>
    <row r="33" spans="1:6" ht="15" customHeight="1" x14ac:dyDescent="0.3">
      <c r="A33" s="147" t="s">
        <v>9</v>
      </c>
      <c r="B33" s="179" t="s">
        <v>121</v>
      </c>
      <c r="C33" s="163"/>
      <c r="D33" s="182"/>
      <c r="E33" s="181"/>
      <c r="F33" s="106"/>
    </row>
    <row r="34" spans="1:6" ht="15" customHeight="1" x14ac:dyDescent="0.3">
      <c r="A34" s="148" t="s">
        <v>115</v>
      </c>
      <c r="B34" s="183" t="s">
        <v>138</v>
      </c>
      <c r="C34" s="163" t="s">
        <v>137</v>
      </c>
      <c r="D34" s="180">
        <f>49.66*0.25*0.6</f>
        <v>7.448999999999999</v>
      </c>
      <c r="E34" s="181"/>
      <c r="F34" s="106"/>
    </row>
    <row r="35" spans="1:6" ht="15" customHeight="1" x14ac:dyDescent="0.3">
      <c r="A35" s="148" t="s">
        <v>116</v>
      </c>
      <c r="B35" s="183" t="s">
        <v>657</v>
      </c>
      <c r="C35" s="163" t="s">
        <v>117</v>
      </c>
      <c r="D35" s="180">
        <f>4*49.66*0.394+249*0.76*0.222</f>
        <v>120.27544</v>
      </c>
      <c r="E35" s="181"/>
      <c r="F35" s="106"/>
    </row>
    <row r="36" spans="1:6" ht="15" customHeight="1" x14ac:dyDescent="0.3">
      <c r="A36" s="147" t="s">
        <v>120</v>
      </c>
      <c r="B36" s="179" t="s">
        <v>416</v>
      </c>
      <c r="C36" s="163"/>
      <c r="D36" s="180"/>
      <c r="E36" s="181"/>
      <c r="F36" s="106"/>
    </row>
    <row r="37" spans="1:6" ht="15" customHeight="1" x14ac:dyDescent="0.3">
      <c r="A37" s="148" t="s">
        <v>122</v>
      </c>
      <c r="B37" s="183" t="s">
        <v>138</v>
      </c>
      <c r="C37" s="163" t="s">
        <v>137</v>
      </c>
      <c r="D37" s="180">
        <f>0.8*(12*0.15*0.15+3*0.3*0.15+0.25*0.15+0.3*0.15+0.15*0.15)</f>
        <v>0.40799999999999992</v>
      </c>
      <c r="E37" s="181"/>
      <c r="F37" s="106"/>
    </row>
    <row r="38" spans="1:6" ht="15" customHeight="1" x14ac:dyDescent="0.3">
      <c r="A38" s="148" t="s">
        <v>123</v>
      </c>
      <c r="B38" s="183" t="s">
        <v>657</v>
      </c>
      <c r="C38" s="163" t="s">
        <v>117</v>
      </c>
      <c r="D38" s="184">
        <f>0.8*(12*4*0.616+3*(4*0.616+2*0.394)+4*0.616+2*0.394+6*0.616+2*0.394)</f>
        <v>37.647999999999989</v>
      </c>
      <c r="E38" s="181"/>
      <c r="F38" s="106"/>
    </row>
    <row r="39" spans="1:6" ht="15" customHeight="1" x14ac:dyDescent="0.3">
      <c r="A39" s="148" t="s">
        <v>124</v>
      </c>
      <c r="B39" s="183" t="s">
        <v>118</v>
      </c>
      <c r="C39" s="163" t="s">
        <v>119</v>
      </c>
      <c r="D39" s="180">
        <f>0.8*(23*0.15+3*0.3+2*0.25)*1.1</f>
        <v>4.2679999999999998</v>
      </c>
      <c r="E39" s="181"/>
      <c r="F39" s="106"/>
    </row>
    <row r="40" spans="1:6" ht="15" customHeight="1" x14ac:dyDescent="0.3">
      <c r="A40" s="147" t="s">
        <v>125</v>
      </c>
      <c r="B40" s="179" t="s">
        <v>133</v>
      </c>
      <c r="C40" s="185"/>
      <c r="D40" s="185"/>
      <c r="E40" s="185"/>
      <c r="F40" s="106"/>
    </row>
    <row r="41" spans="1:6" ht="15" customHeight="1" x14ac:dyDescent="0.3">
      <c r="A41" s="148" t="s">
        <v>126</v>
      </c>
      <c r="B41" s="183" t="s">
        <v>139</v>
      </c>
      <c r="C41" s="163" t="s">
        <v>131</v>
      </c>
      <c r="D41" s="180">
        <f>49.66*0.6*1.1</f>
        <v>32.775599999999997</v>
      </c>
      <c r="E41" s="181"/>
      <c r="F41" s="106"/>
    </row>
    <row r="42" spans="1:6" ht="15" customHeight="1" x14ac:dyDescent="0.3">
      <c r="A42" s="147" t="s">
        <v>127</v>
      </c>
      <c r="B42" s="179" t="s">
        <v>140</v>
      </c>
      <c r="C42" s="163"/>
      <c r="D42" s="180"/>
      <c r="E42" s="181"/>
      <c r="F42" s="106"/>
    </row>
    <row r="43" spans="1:6" ht="15" customHeight="1" x14ac:dyDescent="0.3">
      <c r="A43" s="148" t="s">
        <v>128</v>
      </c>
      <c r="B43" s="183" t="s">
        <v>141</v>
      </c>
      <c r="C43" s="163" t="s">
        <v>131</v>
      </c>
      <c r="D43" s="180">
        <v>57.08</v>
      </c>
      <c r="E43" s="181"/>
      <c r="F43" s="106"/>
    </row>
    <row r="44" spans="1:6" ht="15" customHeight="1" x14ac:dyDescent="0.3">
      <c r="A44" s="148" t="s">
        <v>129</v>
      </c>
      <c r="B44" s="183" t="s">
        <v>135</v>
      </c>
      <c r="C44" s="163" t="s">
        <v>131</v>
      </c>
      <c r="D44" s="180">
        <f>+D43</f>
        <v>57.08</v>
      </c>
      <c r="E44" s="181"/>
      <c r="F44" s="106"/>
    </row>
    <row r="45" spans="1:6" ht="15" customHeight="1" x14ac:dyDescent="0.3">
      <c r="A45" s="148" t="s">
        <v>130</v>
      </c>
      <c r="B45" s="183" t="s">
        <v>118</v>
      </c>
      <c r="C45" s="163" t="s">
        <v>131</v>
      </c>
      <c r="D45" s="180">
        <f>49.66*0.2</f>
        <v>9.9320000000000004</v>
      </c>
      <c r="E45" s="181"/>
      <c r="F45" s="106"/>
    </row>
    <row r="46" spans="1:6" ht="15" customHeight="1" x14ac:dyDescent="0.3">
      <c r="A46" s="147" t="s">
        <v>132</v>
      </c>
      <c r="B46" s="179" t="s">
        <v>179</v>
      </c>
      <c r="C46" s="163"/>
      <c r="D46" s="180"/>
      <c r="E46" s="181"/>
      <c r="F46" s="106"/>
    </row>
    <row r="47" spans="1:6" ht="15" customHeight="1" x14ac:dyDescent="0.3">
      <c r="A47" s="148" t="s">
        <v>134</v>
      </c>
      <c r="B47" s="183" t="s">
        <v>180</v>
      </c>
      <c r="C47" s="163" t="s">
        <v>131</v>
      </c>
      <c r="D47" s="180">
        <f>57.08-(2.5+2.5)</f>
        <v>52.08</v>
      </c>
      <c r="E47" s="181"/>
      <c r="F47" s="106"/>
    </row>
    <row r="48" spans="1:6" ht="15" customHeight="1" x14ac:dyDescent="0.3">
      <c r="A48" s="148" t="s">
        <v>660</v>
      </c>
      <c r="B48" s="183" t="s">
        <v>662</v>
      </c>
      <c r="C48" s="163" t="s">
        <v>131</v>
      </c>
      <c r="D48" s="180">
        <f>2.5*2</f>
        <v>5</v>
      </c>
      <c r="E48" s="181"/>
      <c r="F48" s="106"/>
    </row>
    <row r="49" spans="1:6" ht="15" customHeight="1" thickBot="1" x14ac:dyDescent="0.35">
      <c r="A49" s="188"/>
      <c r="B49" s="103"/>
      <c r="C49" s="189"/>
      <c r="D49" s="190"/>
      <c r="E49" s="181"/>
      <c r="F49" s="102"/>
    </row>
    <row r="50" spans="1:6" ht="15" customHeight="1" thickBot="1" x14ac:dyDescent="0.35">
      <c r="A50" s="767" t="s">
        <v>146</v>
      </c>
      <c r="B50" s="768"/>
      <c r="C50" s="768"/>
      <c r="D50" s="768"/>
      <c r="E50" s="768"/>
      <c r="F50" s="609"/>
    </row>
    <row r="51" spans="1:6" ht="15" customHeight="1" x14ac:dyDescent="0.3">
      <c r="A51" s="54"/>
      <c r="B51" s="687"/>
      <c r="C51" s="60"/>
      <c r="D51" s="131"/>
      <c r="E51" s="51"/>
      <c r="F51" s="89"/>
    </row>
    <row r="52" spans="1:6" ht="15" customHeight="1" x14ac:dyDescent="0.3">
      <c r="A52" s="147" t="s">
        <v>10</v>
      </c>
      <c r="B52" s="175" t="s">
        <v>167</v>
      </c>
      <c r="C52" s="176"/>
      <c r="D52" s="191"/>
      <c r="E52" s="192"/>
      <c r="F52" s="104"/>
    </row>
    <row r="53" spans="1:6" ht="15" customHeight="1" x14ac:dyDescent="0.3">
      <c r="A53" s="147" t="s">
        <v>11</v>
      </c>
      <c r="B53" s="179" t="s">
        <v>168</v>
      </c>
      <c r="C53" s="176"/>
      <c r="D53" s="191"/>
      <c r="E53" s="192"/>
      <c r="F53" s="104"/>
    </row>
    <row r="54" spans="1:6" ht="15" customHeight="1" x14ac:dyDescent="0.3">
      <c r="A54" s="148" t="s">
        <v>147</v>
      </c>
      <c r="B54" s="183" t="s">
        <v>138</v>
      </c>
      <c r="C54" s="163" t="s">
        <v>137</v>
      </c>
      <c r="D54" s="182">
        <f>3*0.3*0.15*3+3*(0.15*0.15+0.15*0.1)*3.38+(0.25*0.15+3*0.15*0.15)*4.11+(3*0.15*0.15+0.3*0.15)*3.9+3*(4*0.15*0.15+2*0.15*0.1)+(3.74+4.11+3.6+3.32+3.61+3.9+3.52*2)*0.15*0.1</f>
        <v>2.4553499999999997</v>
      </c>
      <c r="E54" s="187"/>
      <c r="F54" s="105"/>
    </row>
    <row r="55" spans="1:6" ht="15" customHeight="1" x14ac:dyDescent="0.3">
      <c r="A55" s="148" t="s">
        <v>148</v>
      </c>
      <c r="B55" s="183" t="s">
        <v>658</v>
      </c>
      <c r="C55" s="163" t="s">
        <v>84</v>
      </c>
      <c r="D55" s="193">
        <v>248.49</v>
      </c>
      <c r="E55" s="187"/>
      <c r="F55" s="105"/>
    </row>
    <row r="56" spans="1:6" ht="15" customHeight="1" x14ac:dyDescent="0.3">
      <c r="A56" s="148" t="s">
        <v>149</v>
      </c>
      <c r="B56" s="183" t="s">
        <v>118</v>
      </c>
      <c r="C56" s="163" t="s">
        <v>131</v>
      </c>
      <c r="D56" s="182">
        <v>25.62</v>
      </c>
      <c r="E56" s="187"/>
      <c r="F56" s="105"/>
    </row>
    <row r="57" spans="1:6" ht="15" customHeight="1" x14ac:dyDescent="0.3">
      <c r="A57" s="147" t="s">
        <v>12</v>
      </c>
      <c r="B57" s="179" t="s">
        <v>169</v>
      </c>
      <c r="C57" s="163"/>
      <c r="D57" s="182"/>
      <c r="E57" s="187"/>
      <c r="F57" s="105"/>
    </row>
    <row r="58" spans="1:6" ht="15" customHeight="1" x14ac:dyDescent="0.3">
      <c r="A58" s="148" t="s">
        <v>150</v>
      </c>
      <c r="B58" s="183" t="s">
        <v>138</v>
      </c>
      <c r="C58" s="163" t="s">
        <v>137</v>
      </c>
      <c r="D58" s="182">
        <f>49.66*0.2*0.15+5.36*0.2*0.1</f>
        <v>1.597</v>
      </c>
      <c r="E58" s="187"/>
      <c r="F58" s="105"/>
    </row>
    <row r="59" spans="1:6" ht="15" customHeight="1" x14ac:dyDescent="0.3">
      <c r="A59" s="148" t="s">
        <v>151</v>
      </c>
      <c r="B59" s="183" t="s">
        <v>658</v>
      </c>
      <c r="C59" s="163" t="s">
        <v>84</v>
      </c>
      <c r="D59" s="193">
        <v>115.51</v>
      </c>
      <c r="E59" s="187"/>
      <c r="F59" s="105"/>
    </row>
    <row r="60" spans="1:6" ht="15" customHeight="1" x14ac:dyDescent="0.3">
      <c r="A60" s="148" t="s">
        <v>152</v>
      </c>
      <c r="B60" s="183" t="s">
        <v>118</v>
      </c>
      <c r="C60" s="163" t="s">
        <v>131</v>
      </c>
      <c r="D60" s="182">
        <f>+(49.66+5.36)*2*0.2*1.1</f>
        <v>24.2088</v>
      </c>
      <c r="E60" s="187"/>
      <c r="F60" s="105"/>
    </row>
    <row r="61" spans="1:6" ht="15" customHeight="1" x14ac:dyDescent="0.3">
      <c r="A61" s="147" t="s">
        <v>13</v>
      </c>
      <c r="B61" s="179" t="s">
        <v>663</v>
      </c>
      <c r="C61" s="163"/>
      <c r="D61" s="182"/>
      <c r="E61" s="187"/>
      <c r="F61" s="105"/>
    </row>
    <row r="62" spans="1:6" ht="15" customHeight="1" x14ac:dyDescent="0.3">
      <c r="A62" s="148" t="s">
        <v>153</v>
      </c>
      <c r="B62" s="194" t="s">
        <v>138</v>
      </c>
      <c r="C62" s="163" t="s">
        <v>137</v>
      </c>
      <c r="D62" s="182">
        <f>1.68*0.4</f>
        <v>0.67200000000000004</v>
      </c>
      <c r="E62" s="187"/>
      <c r="F62" s="105"/>
    </row>
    <row r="63" spans="1:6" ht="15" customHeight="1" x14ac:dyDescent="0.3">
      <c r="A63" s="148" t="s">
        <v>154</v>
      </c>
      <c r="B63" s="194" t="s">
        <v>658</v>
      </c>
      <c r="C63" s="163" t="s">
        <v>84</v>
      </c>
      <c r="D63" s="193">
        <f>+D62*60</f>
        <v>40.32</v>
      </c>
      <c r="E63" s="187"/>
      <c r="F63" s="105"/>
    </row>
    <row r="64" spans="1:6" ht="15" customHeight="1" x14ac:dyDescent="0.3">
      <c r="A64" s="148" t="s">
        <v>155</v>
      </c>
      <c r="B64" s="194" t="s">
        <v>118</v>
      </c>
      <c r="C64" s="163" t="s">
        <v>131</v>
      </c>
      <c r="D64" s="182">
        <f>0.15*0.35*2+1.68*0.15</f>
        <v>0.35699999999999998</v>
      </c>
      <c r="E64" s="187"/>
      <c r="F64" s="105"/>
    </row>
    <row r="65" spans="1:6" ht="15" customHeight="1" x14ac:dyDescent="0.3">
      <c r="A65" s="147" t="s">
        <v>156</v>
      </c>
      <c r="B65" s="179" t="s">
        <v>164</v>
      </c>
      <c r="C65" s="163"/>
      <c r="D65" s="182"/>
      <c r="E65" s="187"/>
      <c r="F65" s="105"/>
    </row>
    <row r="66" spans="1:6" ht="15" customHeight="1" x14ac:dyDescent="0.3">
      <c r="A66" s="148" t="s">
        <v>157</v>
      </c>
      <c r="B66" s="183" t="s">
        <v>165</v>
      </c>
      <c r="C66" s="163" t="s">
        <v>131</v>
      </c>
      <c r="D66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6" s="195"/>
      <c r="F66" s="105"/>
    </row>
    <row r="67" spans="1:6" ht="15" customHeight="1" x14ac:dyDescent="0.3">
      <c r="A67" s="148" t="s">
        <v>158</v>
      </c>
      <c r="B67" s="183" t="s">
        <v>166</v>
      </c>
      <c r="C67" s="163" t="s">
        <v>131</v>
      </c>
      <c r="D67" s="180">
        <f>+(2.13+0.73+2.4)*3-(2*0.7*2.2)</f>
        <v>12.7</v>
      </c>
      <c r="E67" s="181"/>
      <c r="F67" s="105"/>
    </row>
    <row r="68" spans="1:6" ht="15" customHeight="1" x14ac:dyDescent="0.3">
      <c r="A68" s="147" t="s">
        <v>159</v>
      </c>
      <c r="B68" s="179" t="s">
        <v>173</v>
      </c>
      <c r="C68" s="163"/>
      <c r="D68" s="180"/>
      <c r="E68" s="181"/>
      <c r="F68" s="105"/>
    </row>
    <row r="69" spans="1:6" ht="15" customHeight="1" x14ac:dyDescent="0.3">
      <c r="A69" s="148" t="s">
        <v>160</v>
      </c>
      <c r="B69" s="183" t="s">
        <v>673</v>
      </c>
      <c r="C69" s="163" t="s">
        <v>131</v>
      </c>
      <c r="D69" s="180">
        <f>+((36.87-(2*1.44+0.95+3.31))+(17.19-0.36)+(36.87-(2*1.44+3.31+0.36))+2*(17.19-2*6.8))+17.19-(0.9*2.2+1.44)</f>
        <v>97.83</v>
      </c>
      <c r="E69" s="181"/>
      <c r="F69" s="105"/>
    </row>
    <row r="70" spans="1:6" ht="15" customHeight="1" x14ac:dyDescent="0.3">
      <c r="A70" s="148" t="s">
        <v>161</v>
      </c>
      <c r="B70" s="183" t="s">
        <v>174</v>
      </c>
      <c r="C70" s="163" t="s">
        <v>131</v>
      </c>
      <c r="D70" s="180">
        <f>97.83-2*(17.19-(2*6.8))+2*((13.03-1.98)+(3.72*4.15)+(20.31-1.98))</f>
        <v>180.286</v>
      </c>
      <c r="E70" s="181"/>
      <c r="F70" s="105"/>
    </row>
    <row r="71" spans="1:6" ht="24.9" customHeight="1" x14ac:dyDescent="0.3">
      <c r="A71" s="148" t="s">
        <v>170</v>
      </c>
      <c r="B71" s="183" t="s">
        <v>703</v>
      </c>
      <c r="C71" s="163" t="s">
        <v>131</v>
      </c>
      <c r="D71" s="180">
        <f>2*(6.4*3-1.76)</f>
        <v>34.880000000000003</v>
      </c>
      <c r="E71" s="181"/>
      <c r="F71" s="105"/>
    </row>
    <row r="72" spans="1:6" ht="15" customHeight="1" x14ac:dyDescent="0.3">
      <c r="A72" s="147" t="s">
        <v>162</v>
      </c>
      <c r="B72" s="179" t="s">
        <v>171</v>
      </c>
      <c r="C72" s="163"/>
      <c r="D72" s="180"/>
      <c r="E72" s="181"/>
      <c r="F72" s="105"/>
    </row>
    <row r="73" spans="1:6" ht="15" customHeight="1" x14ac:dyDescent="0.3">
      <c r="A73" s="148" t="s">
        <v>163</v>
      </c>
      <c r="B73" s="183" t="s">
        <v>172</v>
      </c>
      <c r="C73" s="163" t="s">
        <v>131</v>
      </c>
      <c r="D73" s="180">
        <v>1.2</v>
      </c>
      <c r="E73" s="181"/>
      <c r="F73" s="105"/>
    </row>
    <row r="74" spans="1:6" ht="15" customHeight="1" thickBot="1" x14ac:dyDescent="0.35">
      <c r="A74" s="196"/>
      <c r="B74" s="197"/>
      <c r="C74" s="198"/>
      <c r="D74" s="199"/>
      <c r="E74" s="200"/>
      <c r="F74" s="107"/>
    </row>
    <row r="75" spans="1:6" ht="15" customHeight="1" thickBot="1" x14ac:dyDescent="0.35">
      <c r="A75" s="767" t="s">
        <v>175</v>
      </c>
      <c r="B75" s="768"/>
      <c r="C75" s="768"/>
      <c r="D75" s="768"/>
      <c r="E75" s="768"/>
      <c r="F75" s="609"/>
    </row>
    <row r="76" spans="1:6" ht="15" customHeight="1" thickBot="1" x14ac:dyDescent="0.35">
      <c r="A76" s="688"/>
      <c r="B76" s="689"/>
      <c r="C76" s="690"/>
      <c r="D76" s="691"/>
      <c r="E76" s="692"/>
      <c r="F76" s="693"/>
    </row>
    <row r="77" spans="1:6" ht="15" customHeight="1" thickBot="1" x14ac:dyDescent="0.35">
      <c r="A77" s="767" t="s">
        <v>191</v>
      </c>
      <c r="B77" s="768"/>
      <c r="C77" s="768"/>
      <c r="D77" s="768"/>
      <c r="E77" s="768"/>
      <c r="F77" s="586"/>
    </row>
    <row r="78" spans="1:6" ht="15" customHeight="1" x14ac:dyDescent="0.3">
      <c r="A78" s="694"/>
      <c r="B78" s="695"/>
      <c r="C78" s="696"/>
      <c r="D78" s="697"/>
      <c r="E78" s="698"/>
      <c r="F78" s="699"/>
    </row>
    <row r="79" spans="1:6" ht="15" customHeight="1" x14ac:dyDescent="0.3">
      <c r="A79" s="58" t="s">
        <v>176</v>
      </c>
      <c r="B79" s="99" t="s">
        <v>177</v>
      </c>
      <c r="C79" s="60"/>
      <c r="D79" s="131"/>
      <c r="E79" s="51"/>
      <c r="F79" s="89"/>
    </row>
    <row r="80" spans="1:6" ht="15" customHeight="1" x14ac:dyDescent="0.3">
      <c r="A80" s="54"/>
      <c r="B80" s="167"/>
      <c r="C80" s="60"/>
      <c r="D80" s="131"/>
      <c r="E80" s="51"/>
      <c r="F80" s="89"/>
    </row>
    <row r="81" spans="1:6" ht="15" customHeight="1" x14ac:dyDescent="0.3">
      <c r="A81" s="54" t="s">
        <v>53</v>
      </c>
      <c r="B81" s="111" t="s">
        <v>732</v>
      </c>
      <c r="C81" s="60"/>
      <c r="D81" s="131"/>
      <c r="E81" s="80"/>
      <c r="F81" s="112"/>
    </row>
    <row r="82" spans="1:6" ht="24.9" customHeight="1" x14ac:dyDescent="0.3">
      <c r="A82" s="61" t="s">
        <v>82</v>
      </c>
      <c r="B82" s="69" t="s">
        <v>181</v>
      </c>
      <c r="C82" s="163" t="s">
        <v>131</v>
      </c>
      <c r="D82" s="70">
        <f>2*2.4</f>
        <v>4.8</v>
      </c>
      <c r="E82" s="393"/>
      <c r="F82" s="591"/>
    </row>
    <row r="83" spans="1:6" ht="15" customHeight="1" x14ac:dyDescent="0.3">
      <c r="A83" s="61" t="s">
        <v>178</v>
      </c>
      <c r="B83" s="113" t="s">
        <v>717</v>
      </c>
      <c r="C83" s="60" t="s">
        <v>15</v>
      </c>
      <c r="D83" s="131">
        <f>2*(6.4-0.8)</f>
        <v>11.200000000000001</v>
      </c>
      <c r="E83" s="393"/>
      <c r="F83" s="591"/>
    </row>
    <row r="84" spans="1:6" ht="15" customHeight="1" thickBot="1" x14ac:dyDescent="0.35">
      <c r="A84" s="76"/>
      <c r="B84" s="114"/>
      <c r="C84" s="63"/>
      <c r="D84" s="206"/>
      <c r="E84" s="207"/>
      <c r="F84" s="115"/>
    </row>
    <row r="85" spans="1:6" ht="15" customHeight="1" thickBot="1" x14ac:dyDescent="0.35">
      <c r="A85" s="767" t="s">
        <v>192</v>
      </c>
      <c r="B85" s="768"/>
      <c r="C85" s="768"/>
      <c r="D85" s="768"/>
      <c r="E85" s="768"/>
      <c r="F85" s="589"/>
    </row>
    <row r="86" spans="1:6" ht="15" customHeight="1" x14ac:dyDescent="0.3">
      <c r="A86" s="116"/>
      <c r="B86" s="117"/>
      <c r="C86" s="117"/>
      <c r="D86" s="117"/>
      <c r="E86" s="117"/>
      <c r="F86" s="118"/>
    </row>
    <row r="87" spans="1:6" ht="15" customHeight="1" x14ac:dyDescent="0.3">
      <c r="A87" s="58" t="s">
        <v>182</v>
      </c>
      <c r="B87" s="99" t="s">
        <v>656</v>
      </c>
      <c r="C87" s="60"/>
      <c r="D87" s="131"/>
      <c r="E87" s="51"/>
      <c r="F87" s="89"/>
    </row>
    <row r="88" spans="1:6" ht="15" customHeight="1" x14ac:dyDescent="0.3">
      <c r="A88" s="54"/>
      <c r="B88" s="167"/>
      <c r="C88" s="60"/>
      <c r="D88" s="131"/>
      <c r="E88" s="51"/>
      <c r="F88" s="89"/>
    </row>
    <row r="89" spans="1:6" ht="15" customHeight="1" x14ac:dyDescent="0.3">
      <c r="A89" s="64" t="s">
        <v>186</v>
      </c>
      <c r="B89" s="111" t="s">
        <v>188</v>
      </c>
      <c r="C89" s="60"/>
      <c r="D89" s="131"/>
      <c r="E89" s="80"/>
      <c r="F89" s="119"/>
    </row>
    <row r="90" spans="1:6" ht="15" customHeight="1" x14ac:dyDescent="0.3">
      <c r="A90" s="65" t="s">
        <v>187</v>
      </c>
      <c r="B90" s="69" t="s">
        <v>675</v>
      </c>
      <c r="C90" s="60" t="s">
        <v>15</v>
      </c>
      <c r="D90" s="131">
        <f>14*1*5+14*0.8+0.6*2*4</f>
        <v>86</v>
      </c>
      <c r="E90" s="393"/>
      <c r="F90" s="591"/>
    </row>
    <row r="91" spans="1:6" ht="15" customHeight="1" thickBot="1" x14ac:dyDescent="0.35">
      <c r="A91" s="700"/>
      <c r="B91" s="114"/>
      <c r="C91" s="63"/>
      <c r="D91" s="206"/>
      <c r="E91" s="207"/>
      <c r="F91" s="115"/>
    </row>
    <row r="92" spans="1:6" ht="15" customHeight="1" thickBot="1" x14ac:dyDescent="0.35">
      <c r="A92" s="767" t="s">
        <v>194</v>
      </c>
      <c r="B92" s="768"/>
      <c r="C92" s="768"/>
      <c r="D92" s="768"/>
      <c r="E92" s="768"/>
      <c r="F92" s="589"/>
    </row>
    <row r="93" spans="1:6" ht="15" customHeight="1" x14ac:dyDescent="0.3">
      <c r="A93" s="701"/>
      <c r="B93" s="397"/>
      <c r="C93" s="397"/>
      <c r="D93" s="397"/>
      <c r="E93" s="397"/>
      <c r="F93" s="702"/>
    </row>
    <row r="94" spans="1:6" ht="15" customHeight="1" x14ac:dyDescent="0.3">
      <c r="A94" s="58" t="s">
        <v>183</v>
      </c>
      <c r="B94" s="99" t="s">
        <v>184</v>
      </c>
      <c r="C94" s="60"/>
      <c r="D94" s="131"/>
      <c r="E94" s="51"/>
      <c r="F94" s="89"/>
    </row>
    <row r="95" spans="1:6" ht="15" customHeight="1" x14ac:dyDescent="0.3">
      <c r="A95" s="54"/>
      <c r="B95" s="167"/>
      <c r="C95" s="60"/>
      <c r="D95" s="131"/>
      <c r="E95" s="51"/>
      <c r="F95" s="89"/>
    </row>
    <row r="96" spans="1:6" ht="15" customHeight="1" x14ac:dyDescent="0.3">
      <c r="A96" s="64" t="s">
        <v>16</v>
      </c>
      <c r="B96" s="111" t="s">
        <v>185</v>
      </c>
      <c r="C96" s="60"/>
      <c r="D96" s="131"/>
      <c r="E96" s="80"/>
      <c r="F96" s="112"/>
    </row>
    <row r="97" spans="1:6" ht="15" customHeight="1" x14ac:dyDescent="0.3">
      <c r="A97" s="65" t="s">
        <v>17</v>
      </c>
      <c r="B97" s="69" t="s">
        <v>419</v>
      </c>
      <c r="C97" s="163" t="s">
        <v>131</v>
      </c>
      <c r="D97" s="131">
        <f>5*1.4*1.4</f>
        <v>9.7999999999999989</v>
      </c>
      <c r="E97" s="393"/>
      <c r="F97" s="591"/>
    </row>
    <row r="98" spans="1:6" ht="15" customHeight="1" x14ac:dyDescent="0.3">
      <c r="A98" s="65" t="s">
        <v>19</v>
      </c>
      <c r="B98" s="69" t="s">
        <v>420</v>
      </c>
      <c r="C98" s="163" t="s">
        <v>131</v>
      </c>
      <c r="D98" s="131">
        <f>1.2*1.4</f>
        <v>1.68</v>
      </c>
      <c r="E98" s="393"/>
      <c r="F98" s="591"/>
    </row>
    <row r="99" spans="1:6" ht="15" customHeight="1" x14ac:dyDescent="0.3">
      <c r="A99" s="65" t="s">
        <v>365</v>
      </c>
      <c r="B99" s="69" t="s">
        <v>421</v>
      </c>
      <c r="C99" s="163" t="s">
        <v>131</v>
      </c>
      <c r="D99" s="131">
        <f>0.8*0.8*2</f>
        <v>1.2800000000000002</v>
      </c>
      <c r="E99" s="393"/>
      <c r="F99" s="591"/>
    </row>
    <row r="100" spans="1:6" ht="15" customHeight="1" thickBot="1" x14ac:dyDescent="0.35">
      <c r="A100" s="77"/>
      <c r="B100" s="114"/>
      <c r="C100" s="63"/>
      <c r="D100" s="206"/>
      <c r="E100" s="207"/>
      <c r="F100" s="121"/>
    </row>
    <row r="101" spans="1:6" ht="15" customHeight="1" thickBot="1" x14ac:dyDescent="0.35">
      <c r="A101" s="767" t="s">
        <v>193</v>
      </c>
      <c r="B101" s="768"/>
      <c r="C101" s="768"/>
      <c r="D101" s="768"/>
      <c r="E101" s="768"/>
      <c r="F101" s="589"/>
    </row>
    <row r="102" spans="1:6" ht="15" customHeight="1" x14ac:dyDescent="0.3">
      <c r="A102" s="703"/>
      <c r="B102" s="704"/>
      <c r="C102" s="705"/>
      <c r="D102" s="706"/>
      <c r="E102" s="707"/>
      <c r="F102" s="693"/>
    </row>
    <row r="103" spans="1:6" ht="15" customHeight="1" x14ac:dyDescent="0.3">
      <c r="A103" s="58" t="s">
        <v>195</v>
      </c>
      <c r="B103" s="99" t="s">
        <v>196</v>
      </c>
      <c r="C103" s="60"/>
      <c r="D103" s="131"/>
      <c r="E103" s="51"/>
      <c r="F103" s="89"/>
    </row>
    <row r="104" spans="1:6" ht="15" customHeight="1" x14ac:dyDescent="0.3">
      <c r="A104" s="54"/>
      <c r="B104" s="123"/>
      <c r="C104" s="60"/>
      <c r="D104" s="131"/>
      <c r="E104" s="80"/>
      <c r="F104" s="112"/>
    </row>
    <row r="105" spans="1:6" ht="15" customHeight="1" x14ac:dyDescent="0.3">
      <c r="A105" s="64" t="s">
        <v>20</v>
      </c>
      <c r="B105" s="123" t="s">
        <v>76</v>
      </c>
      <c r="C105" s="60"/>
      <c r="D105" s="131"/>
      <c r="E105" s="80"/>
      <c r="F105" s="119"/>
    </row>
    <row r="106" spans="1:6" ht="15" customHeight="1" x14ac:dyDescent="0.3">
      <c r="A106" s="64" t="s">
        <v>21</v>
      </c>
      <c r="B106" s="124" t="s">
        <v>199</v>
      </c>
      <c r="C106" s="60"/>
      <c r="D106" s="131"/>
      <c r="E106" s="80"/>
      <c r="F106" s="119"/>
    </row>
    <row r="107" spans="1:6" ht="15" customHeight="1" x14ac:dyDescent="0.3">
      <c r="A107" s="65" t="s">
        <v>201</v>
      </c>
      <c r="B107" s="125" t="s">
        <v>197</v>
      </c>
      <c r="C107" s="60" t="s">
        <v>15</v>
      </c>
      <c r="D107" s="131">
        <f>+(35+12.2+5+11.74)*1.1</f>
        <v>70.334000000000017</v>
      </c>
      <c r="E107" s="393"/>
      <c r="F107" s="591"/>
    </row>
    <row r="108" spans="1:6" ht="24.9" customHeight="1" x14ac:dyDescent="0.3">
      <c r="A108" s="65" t="s">
        <v>202</v>
      </c>
      <c r="B108" s="69" t="s">
        <v>240</v>
      </c>
      <c r="C108" s="60" t="s">
        <v>15</v>
      </c>
      <c r="D108" s="131">
        <f>+D107</f>
        <v>70.334000000000017</v>
      </c>
      <c r="E108" s="393"/>
      <c r="F108" s="591"/>
    </row>
    <row r="109" spans="1:6" ht="15" customHeight="1" x14ac:dyDescent="0.3">
      <c r="A109" s="64" t="s">
        <v>203</v>
      </c>
      <c r="B109" s="124" t="s">
        <v>200</v>
      </c>
      <c r="C109" s="60"/>
      <c r="D109" s="131"/>
      <c r="E109" s="80"/>
      <c r="F109" s="591"/>
    </row>
    <row r="110" spans="1:6" ht="24.9" customHeight="1" x14ac:dyDescent="0.3">
      <c r="A110" s="66" t="s">
        <v>204</v>
      </c>
      <c r="B110" s="69" t="s">
        <v>238</v>
      </c>
      <c r="C110" s="62" t="s">
        <v>15</v>
      </c>
      <c r="D110" s="70">
        <f>+(0.33+1.84+0.8*2+1.5+0.41)*1.1</f>
        <v>6.2480000000000002</v>
      </c>
      <c r="E110" s="383"/>
      <c r="F110" s="591"/>
    </row>
    <row r="111" spans="1:6" ht="15" customHeight="1" x14ac:dyDescent="0.3">
      <c r="A111" s="64" t="s">
        <v>22</v>
      </c>
      <c r="B111" s="123" t="s">
        <v>198</v>
      </c>
      <c r="C111" s="60"/>
      <c r="D111" s="131"/>
      <c r="E111" s="393"/>
      <c r="F111" s="591"/>
    </row>
    <row r="112" spans="1:6" ht="15" customHeight="1" x14ac:dyDescent="0.3">
      <c r="A112" s="64" t="s">
        <v>77</v>
      </c>
      <c r="B112" s="124" t="s">
        <v>205</v>
      </c>
      <c r="C112" s="60"/>
      <c r="D112" s="131"/>
      <c r="E112" s="393"/>
      <c r="F112" s="591"/>
    </row>
    <row r="113" spans="1:6" ht="15" customHeight="1" x14ac:dyDescent="0.3">
      <c r="A113" s="65" t="s">
        <v>208</v>
      </c>
      <c r="B113" s="125" t="s">
        <v>206</v>
      </c>
      <c r="C113" s="60" t="s">
        <v>15</v>
      </c>
      <c r="D113" s="131">
        <f>(2*0.8+2.3+1.05)*1.2</f>
        <v>5.94</v>
      </c>
      <c r="E113" s="393"/>
      <c r="F113" s="591"/>
    </row>
    <row r="114" spans="1:6" ht="15" customHeight="1" x14ac:dyDescent="0.3">
      <c r="A114" s="65" t="s">
        <v>209</v>
      </c>
      <c r="B114" s="113" t="s">
        <v>207</v>
      </c>
      <c r="C114" s="60" t="s">
        <v>15</v>
      </c>
      <c r="D114" s="131">
        <f>(1.45+0.9)*1.2</f>
        <v>2.82</v>
      </c>
      <c r="E114" s="393"/>
      <c r="F114" s="591"/>
    </row>
    <row r="115" spans="1:6" ht="15" customHeight="1" x14ac:dyDescent="0.3">
      <c r="A115" s="64" t="s">
        <v>23</v>
      </c>
      <c r="B115" s="111" t="s">
        <v>210</v>
      </c>
      <c r="C115" s="60"/>
      <c r="D115" s="131"/>
      <c r="E115" s="393"/>
      <c r="F115" s="591"/>
    </row>
    <row r="116" spans="1:6" ht="15" customHeight="1" x14ac:dyDescent="0.3">
      <c r="A116" s="64" t="s">
        <v>78</v>
      </c>
      <c r="B116" s="127" t="s">
        <v>211</v>
      </c>
      <c r="C116" s="60"/>
      <c r="D116" s="131"/>
      <c r="E116" s="393"/>
      <c r="F116" s="591"/>
    </row>
    <row r="117" spans="1:6" ht="15" customHeight="1" x14ac:dyDescent="0.3">
      <c r="A117" s="65" t="s">
        <v>215</v>
      </c>
      <c r="B117" s="113" t="s">
        <v>239</v>
      </c>
      <c r="C117" s="60" t="s">
        <v>18</v>
      </c>
      <c r="D117" s="131">
        <v>2</v>
      </c>
      <c r="E117" s="393"/>
      <c r="F117" s="591"/>
    </row>
    <row r="118" spans="1:6" ht="15" customHeight="1" x14ac:dyDescent="0.3">
      <c r="A118" s="64" t="s">
        <v>216</v>
      </c>
      <c r="B118" s="111" t="s">
        <v>212</v>
      </c>
      <c r="C118" s="60"/>
      <c r="D118" s="131"/>
      <c r="E118" s="80"/>
      <c r="F118" s="591"/>
    </row>
    <row r="119" spans="1:6" ht="15" customHeight="1" x14ac:dyDescent="0.3">
      <c r="A119" s="64" t="s">
        <v>217</v>
      </c>
      <c r="B119" s="127" t="s">
        <v>213</v>
      </c>
      <c r="C119" s="60"/>
      <c r="D119" s="131"/>
      <c r="E119" s="80"/>
      <c r="F119" s="591"/>
    </row>
    <row r="120" spans="1:6" ht="24.9" customHeight="1" x14ac:dyDescent="0.3">
      <c r="A120" s="66" t="s">
        <v>218</v>
      </c>
      <c r="B120" s="69" t="s">
        <v>425</v>
      </c>
      <c r="C120" s="62" t="s">
        <v>18</v>
      </c>
      <c r="D120" s="70">
        <v>2</v>
      </c>
      <c r="E120" s="383"/>
      <c r="F120" s="591"/>
    </row>
    <row r="121" spans="1:6" ht="24.9" customHeight="1" x14ac:dyDescent="0.3">
      <c r="A121" s="66" t="s">
        <v>219</v>
      </c>
      <c r="B121" s="69" t="s">
        <v>724</v>
      </c>
      <c r="C121" s="62" t="s">
        <v>18</v>
      </c>
      <c r="D121" s="70">
        <v>2</v>
      </c>
      <c r="E121" s="383"/>
      <c r="F121" s="591"/>
    </row>
    <row r="122" spans="1:6" ht="15" customHeight="1" x14ac:dyDescent="0.3">
      <c r="A122" s="64" t="s">
        <v>220</v>
      </c>
      <c r="B122" s="127" t="s">
        <v>221</v>
      </c>
      <c r="C122" s="60"/>
      <c r="D122" s="131"/>
      <c r="E122" s="80"/>
      <c r="F122" s="591"/>
    </row>
    <row r="123" spans="1:6" ht="15" customHeight="1" x14ac:dyDescent="0.3">
      <c r="A123" s="65" t="s">
        <v>222</v>
      </c>
      <c r="B123" s="113" t="s">
        <v>705</v>
      </c>
      <c r="C123" s="60" t="s">
        <v>18</v>
      </c>
      <c r="D123" s="131">
        <v>2</v>
      </c>
      <c r="E123" s="393"/>
      <c r="F123" s="591"/>
    </row>
    <row r="124" spans="1:6" ht="15" customHeight="1" x14ac:dyDescent="0.3">
      <c r="A124" s="65" t="s">
        <v>223</v>
      </c>
      <c r="B124" s="81" t="s">
        <v>668</v>
      </c>
      <c r="C124" s="63" t="s">
        <v>18</v>
      </c>
      <c r="D124" s="212">
        <v>2</v>
      </c>
      <c r="E124" s="401"/>
      <c r="F124" s="591"/>
    </row>
    <row r="125" spans="1:6" ht="15" customHeight="1" x14ac:dyDescent="0.3">
      <c r="A125" s="65" t="s">
        <v>224</v>
      </c>
      <c r="B125" s="81" t="s">
        <v>669</v>
      </c>
      <c r="C125" s="63" t="s">
        <v>18</v>
      </c>
      <c r="D125" s="212">
        <v>2</v>
      </c>
      <c r="E125" s="401"/>
      <c r="F125" s="591"/>
    </row>
    <row r="126" spans="1:6" s="613" customFormat="1" ht="15" customHeight="1" x14ac:dyDescent="0.3">
      <c r="A126" s="65" t="s">
        <v>726</v>
      </c>
      <c r="B126" s="81" t="s">
        <v>727</v>
      </c>
      <c r="C126" s="63" t="s">
        <v>18</v>
      </c>
      <c r="D126" s="212">
        <v>2</v>
      </c>
      <c r="E126" s="401"/>
      <c r="F126" s="591"/>
    </row>
    <row r="127" spans="1:6" ht="15" customHeight="1" thickBot="1" x14ac:dyDescent="0.35">
      <c r="A127" s="78"/>
      <c r="B127" s="128"/>
      <c r="C127" s="63"/>
      <c r="D127" s="206"/>
      <c r="E127" s="207"/>
      <c r="F127" s="592"/>
    </row>
    <row r="128" spans="1:6" ht="15" customHeight="1" thickBot="1" x14ac:dyDescent="0.35">
      <c r="A128" s="767" t="s">
        <v>225</v>
      </c>
      <c r="B128" s="768"/>
      <c r="C128" s="768"/>
      <c r="D128" s="768"/>
      <c r="E128" s="768"/>
      <c r="F128" s="589"/>
    </row>
    <row r="129" spans="1:6" ht="15" customHeight="1" x14ac:dyDescent="0.3">
      <c r="A129" s="708"/>
      <c r="B129" s="709"/>
      <c r="C129" s="696"/>
      <c r="D129" s="697"/>
      <c r="E129" s="698"/>
      <c r="F129" s="699"/>
    </row>
    <row r="130" spans="1:6" ht="15" customHeight="1" x14ac:dyDescent="0.3">
      <c r="A130" s="58" t="s">
        <v>226</v>
      </c>
      <c r="B130" s="99" t="s">
        <v>227</v>
      </c>
      <c r="C130" s="60"/>
      <c r="D130" s="131"/>
      <c r="E130" s="51"/>
      <c r="F130" s="89"/>
    </row>
    <row r="131" spans="1:6" ht="15" customHeight="1" x14ac:dyDescent="0.3">
      <c r="A131" s="708"/>
      <c r="B131" s="709"/>
      <c r="C131" s="696"/>
      <c r="D131" s="697"/>
      <c r="E131" s="698"/>
      <c r="F131" s="699"/>
    </row>
    <row r="132" spans="1:6" ht="15" customHeight="1" x14ac:dyDescent="0.3">
      <c r="A132" s="64" t="s">
        <v>44</v>
      </c>
      <c r="B132" s="111" t="s">
        <v>228</v>
      </c>
      <c r="C132" s="60"/>
      <c r="D132" s="131"/>
      <c r="E132" s="80"/>
      <c r="F132" s="119"/>
    </row>
    <row r="133" spans="1:6" ht="15" customHeight="1" x14ac:dyDescent="0.3">
      <c r="A133" s="64" t="s">
        <v>75</v>
      </c>
      <c r="B133" s="127" t="s">
        <v>229</v>
      </c>
      <c r="C133" s="60"/>
      <c r="D133" s="131"/>
      <c r="E133" s="80"/>
      <c r="F133" s="119"/>
    </row>
    <row r="134" spans="1:6" ht="15" customHeight="1" x14ac:dyDescent="0.3">
      <c r="A134" s="65" t="s">
        <v>242</v>
      </c>
      <c r="B134" s="113" t="s">
        <v>241</v>
      </c>
      <c r="C134" s="60" t="s">
        <v>15</v>
      </c>
      <c r="D134" s="131">
        <f>3.03+3.5</f>
        <v>6.5299999999999994</v>
      </c>
      <c r="E134" s="393"/>
      <c r="F134" s="591"/>
    </row>
    <row r="135" spans="1:6" ht="15" customHeight="1" x14ac:dyDescent="0.3">
      <c r="A135" s="64" t="s">
        <v>24</v>
      </c>
      <c r="B135" s="111" t="s">
        <v>232</v>
      </c>
      <c r="C135" s="60"/>
      <c r="D135" s="131"/>
      <c r="E135" s="393"/>
      <c r="F135" s="591"/>
    </row>
    <row r="136" spans="1:6" ht="15" customHeight="1" x14ac:dyDescent="0.3">
      <c r="A136" s="64" t="s">
        <v>25</v>
      </c>
      <c r="B136" s="130" t="s">
        <v>233</v>
      </c>
      <c r="C136" s="60"/>
      <c r="D136" s="131"/>
      <c r="E136" s="393"/>
      <c r="F136" s="591"/>
    </row>
    <row r="137" spans="1:6" ht="15" customHeight="1" x14ac:dyDescent="0.3">
      <c r="A137" s="68" t="s">
        <v>243</v>
      </c>
      <c r="B137" s="132" t="s">
        <v>230</v>
      </c>
      <c r="C137" s="67" t="s">
        <v>18</v>
      </c>
      <c r="D137" s="133">
        <v>1</v>
      </c>
      <c r="E137" s="593"/>
      <c r="F137" s="591"/>
    </row>
    <row r="138" spans="1:6" ht="15" customHeight="1" x14ac:dyDescent="0.3">
      <c r="A138" s="65" t="s">
        <v>244</v>
      </c>
      <c r="B138" s="69" t="s">
        <v>723</v>
      </c>
      <c r="C138" s="60" t="s">
        <v>18</v>
      </c>
      <c r="D138" s="131">
        <v>1</v>
      </c>
      <c r="E138" s="393"/>
      <c r="F138" s="591"/>
    </row>
    <row r="139" spans="1:6" ht="15" customHeight="1" x14ac:dyDescent="0.3">
      <c r="A139" s="64" t="s">
        <v>245</v>
      </c>
      <c r="B139" s="130" t="s">
        <v>234</v>
      </c>
      <c r="C139" s="60"/>
      <c r="D139" s="131"/>
      <c r="E139" s="393"/>
      <c r="F139" s="591"/>
    </row>
    <row r="140" spans="1:6" ht="15" customHeight="1" x14ac:dyDescent="0.3">
      <c r="A140" s="66" t="s">
        <v>246</v>
      </c>
      <c r="B140" s="69" t="s">
        <v>235</v>
      </c>
      <c r="C140" s="62" t="s">
        <v>18</v>
      </c>
      <c r="D140" s="70">
        <v>1</v>
      </c>
      <c r="E140" s="383"/>
      <c r="F140" s="591"/>
    </row>
    <row r="141" spans="1:6" ht="15" customHeight="1" x14ac:dyDescent="0.3">
      <c r="A141" s="64" t="s">
        <v>247</v>
      </c>
      <c r="B141" s="130" t="s">
        <v>236</v>
      </c>
      <c r="C141" s="62"/>
      <c r="D141" s="70"/>
      <c r="E141" s="383"/>
      <c r="F141" s="591"/>
    </row>
    <row r="142" spans="1:6" ht="15" customHeight="1" x14ac:dyDescent="0.3">
      <c r="A142" s="66" t="s">
        <v>248</v>
      </c>
      <c r="B142" s="69" t="s">
        <v>237</v>
      </c>
      <c r="C142" s="62" t="s">
        <v>18</v>
      </c>
      <c r="D142" s="70">
        <v>1</v>
      </c>
      <c r="E142" s="383"/>
      <c r="F142" s="591"/>
    </row>
    <row r="143" spans="1:6" ht="15" customHeight="1" thickBot="1" x14ac:dyDescent="0.35">
      <c r="A143" s="710"/>
      <c r="B143" s="711"/>
      <c r="C143" s="712"/>
      <c r="D143" s="713"/>
      <c r="E143" s="714"/>
      <c r="F143" s="715"/>
    </row>
    <row r="144" spans="1:6" ht="15" customHeight="1" thickBot="1" x14ac:dyDescent="0.35">
      <c r="A144" s="767" t="s">
        <v>231</v>
      </c>
      <c r="B144" s="768"/>
      <c r="C144" s="768"/>
      <c r="D144" s="768"/>
      <c r="E144" s="768"/>
      <c r="F144" s="586"/>
    </row>
    <row r="145" spans="1:9" ht="15" customHeight="1" x14ac:dyDescent="0.3">
      <c r="A145" s="716"/>
      <c r="B145" s="111"/>
      <c r="C145" s="60"/>
      <c r="D145" s="131"/>
      <c r="E145" s="80"/>
      <c r="F145" s="112"/>
    </row>
    <row r="146" spans="1:9" ht="15" customHeight="1" x14ac:dyDescent="0.3">
      <c r="A146" s="58" t="s">
        <v>249</v>
      </c>
      <c r="B146" s="99" t="s">
        <v>250</v>
      </c>
      <c r="C146" s="60"/>
      <c r="D146" s="131"/>
      <c r="E146" s="51"/>
      <c r="F146" s="89"/>
    </row>
    <row r="147" spans="1:9" ht="15" customHeight="1" x14ac:dyDescent="0.3">
      <c r="A147" s="716"/>
      <c r="B147" s="111"/>
      <c r="C147" s="60"/>
      <c r="D147" s="131"/>
      <c r="E147" s="80"/>
      <c r="F147" s="112"/>
    </row>
    <row r="148" spans="1:9" ht="15" customHeight="1" x14ac:dyDescent="0.3">
      <c r="A148" s="64" t="s">
        <v>26</v>
      </c>
      <c r="B148" s="111" t="s">
        <v>251</v>
      </c>
      <c r="C148" s="60"/>
      <c r="D148" s="131"/>
      <c r="E148" s="80"/>
      <c r="F148" s="119"/>
    </row>
    <row r="149" spans="1:9" ht="15" customHeight="1" x14ac:dyDescent="0.3">
      <c r="A149" s="64" t="s">
        <v>42</v>
      </c>
      <c r="B149" s="127" t="s">
        <v>253</v>
      </c>
      <c r="C149" s="60"/>
      <c r="D149" s="131"/>
      <c r="E149" s="80"/>
      <c r="F149" s="119"/>
    </row>
    <row r="150" spans="1:9" ht="15" customHeight="1" x14ac:dyDescent="0.3">
      <c r="A150" s="65" t="s">
        <v>258</v>
      </c>
      <c r="B150" s="113" t="s">
        <v>422</v>
      </c>
      <c r="C150" s="60" t="s">
        <v>15</v>
      </c>
      <c r="D150" s="131">
        <v>64.98</v>
      </c>
      <c r="E150" s="594"/>
      <c r="F150" s="591"/>
    </row>
    <row r="151" spans="1:9" ht="15" customHeight="1" x14ac:dyDescent="0.3">
      <c r="A151" s="65" t="s">
        <v>259</v>
      </c>
      <c r="B151" s="113" t="s">
        <v>252</v>
      </c>
      <c r="C151" s="60" t="s">
        <v>15</v>
      </c>
      <c r="D151" s="131">
        <f>+D150</f>
        <v>64.98</v>
      </c>
      <c r="E151" s="594"/>
      <c r="F151" s="591"/>
    </row>
    <row r="152" spans="1:9" ht="15" customHeight="1" x14ac:dyDescent="0.3">
      <c r="A152" s="64" t="s">
        <v>266</v>
      </c>
      <c r="B152" s="127" t="s">
        <v>254</v>
      </c>
      <c r="C152" s="60"/>
      <c r="D152" s="131"/>
      <c r="E152" s="594"/>
      <c r="F152" s="591"/>
    </row>
    <row r="153" spans="1:9" ht="24.9" customHeight="1" x14ac:dyDescent="0.3">
      <c r="A153" s="66" t="s">
        <v>608</v>
      </c>
      <c r="B153" s="69" t="s">
        <v>280</v>
      </c>
      <c r="C153" s="62" t="s">
        <v>15</v>
      </c>
      <c r="D153" s="70">
        <v>33.47</v>
      </c>
      <c r="E153" s="595"/>
      <c r="F153" s="591"/>
    </row>
    <row r="154" spans="1:9" ht="24.9" customHeight="1" x14ac:dyDescent="0.3">
      <c r="A154" s="66" t="s">
        <v>699</v>
      </c>
      <c r="B154" s="69" t="s">
        <v>264</v>
      </c>
      <c r="C154" s="62" t="s">
        <v>54</v>
      </c>
      <c r="D154" s="70">
        <v>2</v>
      </c>
      <c r="E154" s="595"/>
      <c r="F154" s="591"/>
    </row>
    <row r="155" spans="1:9" ht="15" customHeight="1" x14ac:dyDescent="0.3">
      <c r="A155" s="64" t="s">
        <v>267</v>
      </c>
      <c r="B155" s="127" t="s">
        <v>255</v>
      </c>
      <c r="C155" s="60"/>
      <c r="D155" s="131"/>
      <c r="E155" s="594"/>
      <c r="F155" s="591"/>
    </row>
    <row r="156" spans="1:9" ht="24.9" customHeight="1" x14ac:dyDescent="0.3">
      <c r="A156" s="66" t="s">
        <v>281</v>
      </c>
      <c r="B156" s="69" t="s">
        <v>670</v>
      </c>
      <c r="C156" s="62" t="s">
        <v>18</v>
      </c>
      <c r="D156" s="70">
        <v>1</v>
      </c>
      <c r="E156" s="595"/>
      <c r="F156" s="591"/>
      <c r="I156">
        <v>64.98</v>
      </c>
    </row>
    <row r="157" spans="1:9" ht="15" customHeight="1" x14ac:dyDescent="0.3">
      <c r="A157" s="64" t="s">
        <v>27</v>
      </c>
      <c r="B157" s="111" t="s">
        <v>263</v>
      </c>
      <c r="C157" s="60"/>
      <c r="D157" s="131"/>
      <c r="E157" s="594"/>
      <c r="F157" s="591"/>
    </row>
    <row r="158" spans="1:9" ht="15" customHeight="1" x14ac:dyDescent="0.3">
      <c r="A158" s="64" t="s">
        <v>71</v>
      </c>
      <c r="B158" s="127" t="s">
        <v>257</v>
      </c>
      <c r="C158" s="60"/>
      <c r="D158" s="131"/>
      <c r="E158" s="594"/>
      <c r="F158" s="591"/>
    </row>
    <row r="159" spans="1:9" ht="15" customHeight="1" x14ac:dyDescent="0.3">
      <c r="A159" s="65" t="s">
        <v>260</v>
      </c>
      <c r="B159" s="113" t="s">
        <v>423</v>
      </c>
      <c r="C159" s="60" t="s">
        <v>15</v>
      </c>
      <c r="D159" s="131">
        <f>7*1.9*1.2</f>
        <v>15.959999999999997</v>
      </c>
      <c r="E159" s="594"/>
      <c r="F159" s="591"/>
    </row>
    <row r="160" spans="1:9" ht="15" customHeight="1" x14ac:dyDescent="0.3">
      <c r="A160" s="65" t="s">
        <v>261</v>
      </c>
      <c r="B160" s="113" t="s">
        <v>428</v>
      </c>
      <c r="C160" s="60" t="s">
        <v>15</v>
      </c>
      <c r="D160" s="131">
        <f>+(2.45+3.47+3.37+0.3*8+0.72+1.2*2+2.01+3.11+2.53+0.31+2*1.9)*1.2</f>
        <v>31.884</v>
      </c>
      <c r="E160" s="594"/>
      <c r="F160" s="591"/>
    </row>
    <row r="161" spans="1:6" ht="15" customHeight="1" x14ac:dyDescent="0.3">
      <c r="A161" s="65" t="s">
        <v>262</v>
      </c>
      <c r="B161" s="113" t="s">
        <v>256</v>
      </c>
      <c r="C161" s="60" t="s">
        <v>15</v>
      </c>
      <c r="D161" s="131">
        <f>+(2.76+2.37+1.1+1.73+1.56+4.2+1.06+1.78+5.15+2.42+10.46+1.33+1.71+1.95+1.71+1.22+5.11+1.22)*1.2</f>
        <v>58.608000000000004</v>
      </c>
      <c r="E161" s="594"/>
      <c r="F161" s="591"/>
    </row>
    <row r="162" spans="1:6" ht="15" customHeight="1" x14ac:dyDescent="0.3">
      <c r="A162" s="78" t="s">
        <v>28</v>
      </c>
      <c r="B162" s="214" t="s">
        <v>268</v>
      </c>
      <c r="C162" s="185"/>
      <c r="D162" s="165"/>
      <c r="E162" s="185"/>
      <c r="F162" s="591"/>
    </row>
    <row r="163" spans="1:6" ht="15" customHeight="1" x14ac:dyDescent="0.3">
      <c r="A163" s="147" t="s">
        <v>87</v>
      </c>
      <c r="B163" s="215" t="s">
        <v>270</v>
      </c>
      <c r="C163" s="216"/>
      <c r="D163" s="166"/>
      <c r="E163" s="216"/>
      <c r="F163" s="591"/>
    </row>
    <row r="164" spans="1:6" ht="15" customHeight="1" x14ac:dyDescent="0.3">
      <c r="A164" s="148" t="s">
        <v>282</v>
      </c>
      <c r="B164" s="216" t="s">
        <v>269</v>
      </c>
      <c r="C164" s="163" t="s">
        <v>18</v>
      </c>
      <c r="D164" s="169">
        <v>7</v>
      </c>
      <c r="E164" s="725"/>
      <c r="F164" s="591"/>
    </row>
    <row r="165" spans="1:6" ht="15" customHeight="1" x14ac:dyDescent="0.3">
      <c r="A165" s="148" t="s">
        <v>283</v>
      </c>
      <c r="B165" s="216" t="s">
        <v>274</v>
      </c>
      <c r="C165" s="163" t="s">
        <v>18</v>
      </c>
      <c r="D165" s="169">
        <v>1</v>
      </c>
      <c r="E165" s="725"/>
      <c r="F165" s="591"/>
    </row>
    <row r="166" spans="1:6" ht="15" customHeight="1" x14ac:dyDescent="0.3">
      <c r="A166" s="135" t="s">
        <v>89</v>
      </c>
      <c r="B166" s="217" t="s">
        <v>271</v>
      </c>
      <c r="C166" s="185"/>
      <c r="D166" s="165"/>
      <c r="E166" s="185"/>
      <c r="F166" s="591"/>
    </row>
    <row r="167" spans="1:6" ht="15" customHeight="1" x14ac:dyDescent="0.3">
      <c r="A167" s="136" t="s">
        <v>284</v>
      </c>
      <c r="B167" s="113" t="s">
        <v>272</v>
      </c>
      <c r="C167" s="60" t="s">
        <v>18</v>
      </c>
      <c r="D167" s="131">
        <f>1+1+1+1</f>
        <v>4</v>
      </c>
      <c r="E167" s="594"/>
      <c r="F167" s="591"/>
    </row>
    <row r="168" spans="1:6" ht="15" customHeight="1" x14ac:dyDescent="0.3">
      <c r="A168" s="136" t="s">
        <v>285</v>
      </c>
      <c r="B168" s="113" t="s">
        <v>273</v>
      </c>
      <c r="C168" s="60" t="s">
        <v>18</v>
      </c>
      <c r="D168" s="131">
        <f>1+1</f>
        <v>2</v>
      </c>
      <c r="E168" s="594"/>
      <c r="F168" s="591"/>
    </row>
    <row r="169" spans="1:6" ht="15" customHeight="1" x14ac:dyDescent="0.3">
      <c r="A169" s="136" t="s">
        <v>286</v>
      </c>
      <c r="B169" s="113" t="s">
        <v>424</v>
      </c>
      <c r="C169" s="60" t="s">
        <v>18</v>
      </c>
      <c r="D169" s="131">
        <f>1+1</f>
        <v>2</v>
      </c>
      <c r="E169" s="594"/>
      <c r="F169" s="591"/>
    </row>
    <row r="170" spans="1:6" ht="15" customHeight="1" x14ac:dyDescent="0.3">
      <c r="A170" s="135" t="s">
        <v>90</v>
      </c>
      <c r="B170" s="127" t="s">
        <v>275</v>
      </c>
      <c r="C170" s="60"/>
      <c r="D170" s="131"/>
      <c r="E170" s="594"/>
      <c r="F170" s="591"/>
    </row>
    <row r="171" spans="1:6" ht="15" customHeight="1" x14ac:dyDescent="0.3">
      <c r="A171" s="136" t="s">
        <v>287</v>
      </c>
      <c r="B171" s="113" t="s">
        <v>276</v>
      </c>
      <c r="C171" s="60" t="s">
        <v>18</v>
      </c>
      <c r="D171" s="131">
        <v>8</v>
      </c>
      <c r="E171" s="594"/>
      <c r="F171" s="591"/>
    </row>
    <row r="172" spans="1:6" ht="15" customHeight="1" x14ac:dyDescent="0.3">
      <c r="A172" s="136" t="s">
        <v>288</v>
      </c>
      <c r="B172" s="113" t="s">
        <v>277</v>
      </c>
      <c r="C172" s="60" t="s">
        <v>18</v>
      </c>
      <c r="D172" s="131">
        <v>6</v>
      </c>
      <c r="E172" s="594"/>
      <c r="F172" s="591"/>
    </row>
    <row r="173" spans="1:6" ht="15" customHeight="1" x14ac:dyDescent="0.3">
      <c r="A173" s="136" t="s">
        <v>289</v>
      </c>
      <c r="B173" s="113" t="s">
        <v>278</v>
      </c>
      <c r="C173" s="60" t="s">
        <v>18</v>
      </c>
      <c r="D173" s="131">
        <v>1</v>
      </c>
      <c r="E173" s="594"/>
      <c r="F173" s="591"/>
    </row>
    <row r="174" spans="1:6" ht="15" customHeight="1" x14ac:dyDescent="0.3">
      <c r="A174" s="136" t="s">
        <v>290</v>
      </c>
      <c r="B174" s="113" t="s">
        <v>279</v>
      </c>
      <c r="C174" s="60" t="s">
        <v>18</v>
      </c>
      <c r="D174" s="131">
        <v>2</v>
      </c>
      <c r="E174" s="594"/>
      <c r="F174" s="591"/>
    </row>
    <row r="175" spans="1:6" ht="15" customHeight="1" x14ac:dyDescent="0.3">
      <c r="A175" s="135" t="s">
        <v>29</v>
      </c>
      <c r="B175" s="111" t="s">
        <v>232</v>
      </c>
      <c r="C175" s="60"/>
      <c r="D175" s="131"/>
      <c r="E175" s="594"/>
      <c r="F175" s="591"/>
    </row>
    <row r="176" spans="1:6" ht="15" customHeight="1" x14ac:dyDescent="0.3">
      <c r="A176" s="65" t="s">
        <v>91</v>
      </c>
      <c r="B176" s="113" t="s">
        <v>265</v>
      </c>
      <c r="C176" s="60" t="s">
        <v>54</v>
      </c>
      <c r="D176" s="131">
        <v>1</v>
      </c>
      <c r="E176" s="594"/>
      <c r="F176" s="591"/>
    </row>
    <row r="177" spans="1:6" ht="15" customHeight="1" thickBot="1" x14ac:dyDescent="0.35">
      <c r="A177" s="65"/>
      <c r="B177" s="113"/>
      <c r="C177" s="60"/>
      <c r="D177" s="131"/>
      <c r="E177" s="80"/>
      <c r="F177" s="119"/>
    </row>
    <row r="178" spans="1:6" ht="15" customHeight="1" thickBot="1" x14ac:dyDescent="0.35">
      <c r="A178" s="767" t="s">
        <v>291</v>
      </c>
      <c r="B178" s="768"/>
      <c r="C178" s="768"/>
      <c r="D178" s="768"/>
      <c r="E178" s="768"/>
      <c r="F178" s="589"/>
    </row>
    <row r="179" spans="1:6" ht="15" customHeight="1" x14ac:dyDescent="0.3">
      <c r="A179" s="65"/>
      <c r="B179" s="113"/>
      <c r="C179" s="60"/>
      <c r="D179" s="218"/>
      <c r="E179" s="80"/>
      <c r="F179" s="119"/>
    </row>
    <row r="180" spans="1:6" ht="15" customHeight="1" x14ac:dyDescent="0.3">
      <c r="A180" s="58" t="s">
        <v>292</v>
      </c>
      <c r="B180" s="99" t="s">
        <v>293</v>
      </c>
      <c r="C180" s="60"/>
      <c r="D180" s="131"/>
      <c r="E180" s="51"/>
      <c r="F180" s="89"/>
    </row>
    <row r="181" spans="1:6" ht="15" customHeight="1" x14ac:dyDescent="0.3">
      <c r="A181" s="65"/>
      <c r="B181" s="113"/>
      <c r="C181" s="60"/>
      <c r="D181" s="218"/>
      <c r="E181" s="80"/>
      <c r="F181" s="119"/>
    </row>
    <row r="182" spans="1:6" ht="15" customHeight="1" x14ac:dyDescent="0.3">
      <c r="A182" s="64" t="s">
        <v>294</v>
      </c>
      <c r="B182" s="111" t="s">
        <v>295</v>
      </c>
      <c r="C182" s="60"/>
      <c r="D182" s="131"/>
      <c r="E182" s="80"/>
      <c r="F182" s="119"/>
    </row>
    <row r="183" spans="1:6" ht="15" customHeight="1" x14ac:dyDescent="0.3">
      <c r="A183" s="64" t="s">
        <v>296</v>
      </c>
      <c r="B183" s="127" t="s">
        <v>297</v>
      </c>
      <c r="C183" s="60"/>
      <c r="D183" s="218"/>
      <c r="E183" s="80"/>
      <c r="F183" s="119"/>
    </row>
    <row r="184" spans="1:6" ht="15" customHeight="1" x14ac:dyDescent="0.3">
      <c r="A184" s="65" t="s">
        <v>298</v>
      </c>
      <c r="B184" s="113" t="s">
        <v>301</v>
      </c>
      <c r="C184" s="60" t="s">
        <v>18</v>
      </c>
      <c r="D184" s="131">
        <v>1</v>
      </c>
      <c r="E184" s="594"/>
      <c r="F184" s="591"/>
    </row>
    <row r="185" spans="1:6" ht="15" customHeight="1" x14ac:dyDescent="0.3">
      <c r="A185" s="65" t="s">
        <v>299</v>
      </c>
      <c r="B185" s="113" t="s">
        <v>302</v>
      </c>
      <c r="C185" s="60" t="s">
        <v>18</v>
      </c>
      <c r="D185" s="131">
        <v>1</v>
      </c>
      <c r="E185" s="594"/>
      <c r="F185" s="591"/>
    </row>
    <row r="186" spans="1:6" ht="15" customHeight="1" x14ac:dyDescent="0.3">
      <c r="A186" s="64" t="s">
        <v>305</v>
      </c>
      <c r="B186" s="127" t="s">
        <v>300</v>
      </c>
      <c r="C186" s="60"/>
      <c r="D186" s="131"/>
      <c r="E186" s="594"/>
      <c r="F186" s="591"/>
    </row>
    <row r="187" spans="1:6" ht="15" customHeight="1" x14ac:dyDescent="0.3">
      <c r="A187" s="65" t="s">
        <v>306</v>
      </c>
      <c r="B187" s="113" t="s">
        <v>303</v>
      </c>
      <c r="C187" s="60" t="s">
        <v>18</v>
      </c>
      <c r="D187" s="131">
        <v>3</v>
      </c>
      <c r="E187" s="594"/>
      <c r="F187" s="591"/>
    </row>
    <row r="188" spans="1:6" ht="15" customHeight="1" x14ac:dyDescent="0.3">
      <c r="A188" s="65" t="s">
        <v>307</v>
      </c>
      <c r="B188" s="113" t="s">
        <v>304</v>
      </c>
      <c r="C188" s="60" t="s">
        <v>18</v>
      </c>
      <c r="D188" s="131">
        <v>1</v>
      </c>
      <c r="E188" s="594"/>
      <c r="F188" s="591"/>
    </row>
    <row r="189" spans="1:6" ht="15" customHeight="1" thickBot="1" x14ac:dyDescent="0.35">
      <c r="A189" s="65"/>
      <c r="B189" s="113"/>
      <c r="C189" s="60"/>
      <c r="D189" s="218"/>
      <c r="E189" s="80"/>
      <c r="F189" s="119"/>
    </row>
    <row r="190" spans="1:6" ht="15" customHeight="1" thickBot="1" x14ac:dyDescent="0.35">
      <c r="A190" s="767" t="s">
        <v>308</v>
      </c>
      <c r="B190" s="768"/>
      <c r="C190" s="768"/>
      <c r="D190" s="768"/>
      <c r="E190" s="768"/>
      <c r="F190" s="586"/>
    </row>
    <row r="191" spans="1:6" ht="15" customHeight="1" x14ac:dyDescent="0.3">
      <c r="A191" s="65"/>
      <c r="B191" s="113"/>
      <c r="C191" s="60"/>
      <c r="D191" s="218"/>
      <c r="E191" s="80"/>
      <c r="F191" s="119"/>
    </row>
    <row r="192" spans="1:6" ht="15" customHeight="1" x14ac:dyDescent="0.3">
      <c r="A192" s="58" t="s">
        <v>309</v>
      </c>
      <c r="B192" s="99" t="s">
        <v>310</v>
      </c>
      <c r="C192" s="60"/>
      <c r="D192" s="131"/>
      <c r="E192" s="51"/>
      <c r="F192" s="89"/>
    </row>
    <row r="193" spans="1:6" ht="15" customHeight="1" x14ac:dyDescent="0.3">
      <c r="A193" s="65"/>
      <c r="B193" s="113"/>
      <c r="C193" s="60"/>
      <c r="D193" s="218"/>
      <c r="E193" s="80"/>
      <c r="F193" s="119"/>
    </row>
    <row r="194" spans="1:6" ht="15" customHeight="1" x14ac:dyDescent="0.3">
      <c r="A194" s="64" t="s">
        <v>48</v>
      </c>
      <c r="B194" s="111" t="s">
        <v>88</v>
      </c>
      <c r="C194" s="60"/>
      <c r="D194" s="131"/>
      <c r="E194" s="80"/>
      <c r="F194" s="119"/>
    </row>
    <row r="195" spans="1:6" ht="15" customHeight="1" x14ac:dyDescent="0.3">
      <c r="A195" s="64" t="s">
        <v>49</v>
      </c>
      <c r="B195" s="127" t="s">
        <v>311</v>
      </c>
      <c r="C195" s="60"/>
      <c r="D195" s="218"/>
      <c r="E195" s="80"/>
      <c r="F195" s="119"/>
    </row>
    <row r="196" spans="1:6" ht="15" customHeight="1" x14ac:dyDescent="0.3">
      <c r="A196" s="65" t="s">
        <v>313</v>
      </c>
      <c r="B196" s="113" t="s">
        <v>312</v>
      </c>
      <c r="C196" s="60" t="s">
        <v>414</v>
      </c>
      <c r="D196" s="131">
        <v>1</v>
      </c>
      <c r="E196" s="393"/>
      <c r="F196" s="590"/>
    </row>
    <row r="197" spans="1:6" ht="15" customHeight="1" x14ac:dyDescent="0.3">
      <c r="A197" s="64" t="s">
        <v>316</v>
      </c>
      <c r="B197" s="111" t="s">
        <v>314</v>
      </c>
      <c r="C197" s="60"/>
      <c r="D197" s="131"/>
      <c r="E197" s="393"/>
      <c r="F197" s="590"/>
    </row>
    <row r="198" spans="1:6" ht="15" customHeight="1" x14ac:dyDescent="0.3">
      <c r="A198" s="65" t="s">
        <v>319</v>
      </c>
      <c r="B198" s="113" t="s">
        <v>315</v>
      </c>
      <c r="C198" s="60" t="s">
        <v>15</v>
      </c>
      <c r="D198" s="131">
        <f>+(8.29+2*0.3+3)*1.2</f>
        <v>14.267999999999999</v>
      </c>
      <c r="E198" s="393"/>
      <c r="F198" s="590"/>
    </row>
    <row r="199" spans="1:6" ht="15" customHeight="1" x14ac:dyDescent="0.3">
      <c r="A199" s="65" t="s">
        <v>320</v>
      </c>
      <c r="B199" s="113" t="s">
        <v>318</v>
      </c>
      <c r="C199" s="60" t="s">
        <v>15</v>
      </c>
      <c r="D199" s="131">
        <f>+D198</f>
        <v>14.267999999999999</v>
      </c>
      <c r="E199" s="393"/>
      <c r="F199" s="590"/>
    </row>
    <row r="200" spans="1:6" ht="15" customHeight="1" x14ac:dyDescent="0.3">
      <c r="A200" s="65" t="s">
        <v>321</v>
      </c>
      <c r="B200" s="113" t="s">
        <v>317</v>
      </c>
      <c r="C200" s="60" t="s">
        <v>18</v>
      </c>
      <c r="D200" s="131">
        <v>1</v>
      </c>
      <c r="E200" s="393"/>
      <c r="F200" s="590"/>
    </row>
    <row r="201" spans="1:6" ht="15" customHeight="1" x14ac:dyDescent="0.3">
      <c r="A201" s="64" t="s">
        <v>323</v>
      </c>
      <c r="B201" s="111" t="s">
        <v>322</v>
      </c>
      <c r="C201" s="60"/>
      <c r="D201" s="131"/>
      <c r="E201" s="393"/>
      <c r="F201" s="590"/>
    </row>
    <row r="202" spans="1:6" ht="15" customHeight="1" x14ac:dyDescent="0.3">
      <c r="A202" s="65" t="s">
        <v>325</v>
      </c>
      <c r="B202" s="113" t="s">
        <v>324</v>
      </c>
      <c r="C202" s="60" t="s">
        <v>18</v>
      </c>
      <c r="D202" s="131">
        <v>2</v>
      </c>
      <c r="E202" s="393"/>
      <c r="F202" s="590"/>
    </row>
    <row r="203" spans="1:6" ht="15" customHeight="1" thickBot="1" x14ac:dyDescent="0.35">
      <c r="A203" s="65"/>
      <c r="B203" s="113"/>
      <c r="C203" s="60"/>
      <c r="D203" s="218"/>
      <c r="E203" s="80"/>
      <c r="F203" s="119"/>
    </row>
    <row r="204" spans="1:6" ht="15" customHeight="1" thickBot="1" x14ac:dyDescent="0.35">
      <c r="A204" s="767" t="s">
        <v>326</v>
      </c>
      <c r="B204" s="768"/>
      <c r="C204" s="768"/>
      <c r="D204" s="768"/>
      <c r="E204" s="768"/>
      <c r="F204" s="586"/>
    </row>
    <row r="205" spans="1:6" ht="15" customHeight="1" x14ac:dyDescent="0.3">
      <c r="A205" s="65"/>
      <c r="B205" s="113"/>
      <c r="C205" s="60"/>
      <c r="D205" s="218"/>
      <c r="E205" s="80"/>
      <c r="F205" s="119"/>
    </row>
    <row r="206" spans="1:6" ht="15" customHeight="1" x14ac:dyDescent="0.3">
      <c r="A206" s="58" t="s">
        <v>327</v>
      </c>
      <c r="B206" s="99" t="s">
        <v>328</v>
      </c>
      <c r="C206" s="60"/>
      <c r="D206" s="131"/>
      <c r="E206" s="51"/>
      <c r="F206" s="89"/>
    </row>
    <row r="207" spans="1:6" ht="15" customHeight="1" x14ac:dyDescent="0.3">
      <c r="A207" s="65"/>
      <c r="B207" s="113"/>
      <c r="C207" s="60"/>
      <c r="D207" s="218"/>
      <c r="E207" s="80"/>
      <c r="F207" s="119"/>
    </row>
    <row r="208" spans="1:6" ht="15" customHeight="1" x14ac:dyDescent="0.3">
      <c r="A208" s="64" t="s">
        <v>93</v>
      </c>
      <c r="B208" s="111" t="s">
        <v>329</v>
      </c>
      <c r="C208" s="60"/>
      <c r="D208" s="218"/>
      <c r="E208" s="80"/>
      <c r="F208" s="119"/>
    </row>
    <row r="209" spans="1:6" ht="15" customHeight="1" x14ac:dyDescent="0.3">
      <c r="A209" s="64" t="s">
        <v>94</v>
      </c>
      <c r="B209" s="127" t="s">
        <v>330</v>
      </c>
      <c r="C209" s="60"/>
      <c r="D209" s="218"/>
      <c r="E209" s="80"/>
      <c r="F209" s="119"/>
    </row>
    <row r="210" spans="1:6" s="18" customFormat="1" ht="24.9" customHeight="1" x14ac:dyDescent="0.3">
      <c r="A210" s="66" t="s">
        <v>332</v>
      </c>
      <c r="B210" s="69" t="s">
        <v>718</v>
      </c>
      <c r="C210" s="62" t="s">
        <v>18</v>
      </c>
      <c r="D210" s="70">
        <v>2</v>
      </c>
      <c r="E210" s="211"/>
      <c r="F210" s="591"/>
    </row>
    <row r="211" spans="1:6" ht="15" customHeight="1" thickBot="1" x14ac:dyDescent="0.35">
      <c r="A211" s="65"/>
      <c r="B211" s="113"/>
      <c r="C211" s="60"/>
      <c r="D211" s="218"/>
      <c r="E211" s="80"/>
      <c r="F211" s="591"/>
    </row>
    <row r="212" spans="1:6" ht="15" customHeight="1" thickBot="1" x14ac:dyDescent="0.35">
      <c r="A212" s="767" t="s">
        <v>333</v>
      </c>
      <c r="B212" s="768"/>
      <c r="C212" s="768"/>
      <c r="D212" s="768"/>
      <c r="E212" s="768"/>
      <c r="F212" s="586"/>
    </row>
    <row r="213" spans="1:6" ht="15" customHeight="1" x14ac:dyDescent="0.3">
      <c r="A213" s="65"/>
      <c r="B213" s="113"/>
      <c r="C213" s="60"/>
      <c r="D213" s="218"/>
      <c r="E213" s="80"/>
      <c r="F213" s="119"/>
    </row>
    <row r="214" spans="1:6" ht="15" customHeight="1" x14ac:dyDescent="0.3">
      <c r="A214" s="58" t="s">
        <v>334</v>
      </c>
      <c r="B214" s="99" t="s">
        <v>335</v>
      </c>
      <c r="C214" s="60"/>
      <c r="D214" s="131"/>
      <c r="E214" s="51"/>
      <c r="F214" s="89"/>
    </row>
    <row r="215" spans="1:6" ht="15" customHeight="1" x14ac:dyDescent="0.3">
      <c r="A215" s="65"/>
      <c r="B215" s="113"/>
      <c r="C215" s="60"/>
      <c r="D215" s="218"/>
      <c r="E215" s="80"/>
      <c r="F215" s="119"/>
    </row>
    <row r="216" spans="1:6" ht="15" customHeight="1" x14ac:dyDescent="0.3">
      <c r="A216" s="64" t="s">
        <v>69</v>
      </c>
      <c r="B216" s="111" t="s">
        <v>336</v>
      </c>
      <c r="C216" s="60"/>
      <c r="D216" s="218"/>
      <c r="E216" s="80"/>
      <c r="F216" s="119"/>
    </row>
    <row r="217" spans="1:6" ht="15" customHeight="1" x14ac:dyDescent="0.3">
      <c r="A217" s="64" t="s">
        <v>70</v>
      </c>
      <c r="B217" s="127" t="s">
        <v>337</v>
      </c>
      <c r="C217" s="60"/>
      <c r="D217" s="218"/>
      <c r="E217" s="80"/>
      <c r="F217" s="119"/>
    </row>
    <row r="218" spans="1:6" ht="15" customHeight="1" x14ac:dyDescent="0.3">
      <c r="A218" s="65" t="s">
        <v>342</v>
      </c>
      <c r="B218" s="113" t="s">
        <v>671</v>
      </c>
      <c r="C218" s="163" t="s">
        <v>131</v>
      </c>
      <c r="D218" s="131">
        <f>10.97+8.63+14.68+8.79</f>
        <v>43.07</v>
      </c>
      <c r="E218" s="80"/>
      <c r="F218" s="591"/>
    </row>
    <row r="219" spans="1:6" ht="15" customHeight="1" x14ac:dyDescent="0.3">
      <c r="A219" s="65" t="s">
        <v>343</v>
      </c>
      <c r="B219" s="113" t="s">
        <v>338</v>
      </c>
      <c r="C219" s="163" t="s">
        <v>131</v>
      </c>
      <c r="D219" s="131">
        <f>2*2.4</f>
        <v>4.8</v>
      </c>
      <c r="E219" s="80"/>
      <c r="F219" s="591"/>
    </row>
    <row r="220" spans="1:6" ht="15" customHeight="1" x14ac:dyDescent="0.3">
      <c r="A220" s="65" t="s">
        <v>344</v>
      </c>
      <c r="B220" s="113" t="s">
        <v>339</v>
      </c>
      <c r="C220" s="60" t="s">
        <v>15</v>
      </c>
      <c r="D220" s="131">
        <f>+((13.28-0.9)+(15.14-(2*0.9+0.8))+(17.64-(0.9+0.8))+4.58+(2*1.68)+(0.28*4)+(0.18*6))</f>
        <v>50.999999999999993</v>
      </c>
      <c r="E220" s="80"/>
      <c r="F220" s="591"/>
    </row>
    <row r="221" spans="1:6" ht="15" customHeight="1" x14ac:dyDescent="0.3">
      <c r="A221" s="64" t="s">
        <v>345</v>
      </c>
      <c r="B221" s="111" t="s">
        <v>340</v>
      </c>
      <c r="C221" s="60"/>
      <c r="D221" s="131"/>
      <c r="E221" s="80"/>
      <c r="F221" s="591"/>
    </row>
    <row r="222" spans="1:6" ht="15" customHeight="1" x14ac:dyDescent="0.3">
      <c r="A222" s="64" t="s">
        <v>346</v>
      </c>
      <c r="B222" s="127" t="s">
        <v>341</v>
      </c>
      <c r="C222" s="60"/>
      <c r="D222" s="131"/>
      <c r="E222" s="80"/>
      <c r="F222" s="591"/>
    </row>
    <row r="223" spans="1:6" ht="15" customHeight="1" x14ac:dyDescent="0.3">
      <c r="A223" s="65" t="s">
        <v>347</v>
      </c>
      <c r="B223" s="113" t="s">
        <v>429</v>
      </c>
      <c r="C223" s="163" t="s">
        <v>131</v>
      </c>
      <c r="D223" s="131">
        <f>(6.4-0.8)*2.2*2</f>
        <v>24.640000000000004</v>
      </c>
      <c r="E223" s="80"/>
      <c r="F223" s="591"/>
    </row>
    <row r="224" spans="1:6" ht="15" customHeight="1" thickBot="1" x14ac:dyDescent="0.35">
      <c r="A224" s="65"/>
      <c r="B224" s="113"/>
      <c r="C224" s="60"/>
      <c r="D224" s="218"/>
      <c r="E224" s="80"/>
      <c r="F224" s="119"/>
    </row>
    <row r="225" spans="1:6" ht="15" customHeight="1" thickBot="1" x14ac:dyDescent="0.35">
      <c r="A225" s="767" t="s">
        <v>348</v>
      </c>
      <c r="B225" s="768"/>
      <c r="C225" s="768"/>
      <c r="D225" s="768"/>
      <c r="E225" s="768"/>
      <c r="F225" s="586"/>
    </row>
    <row r="226" spans="1:6" ht="15" customHeight="1" x14ac:dyDescent="0.3">
      <c r="A226" s="65"/>
      <c r="B226" s="113"/>
      <c r="C226" s="60"/>
      <c r="D226" s="218"/>
      <c r="E226" s="80"/>
      <c r="F226" s="119"/>
    </row>
    <row r="227" spans="1:6" ht="15" customHeight="1" x14ac:dyDescent="0.3">
      <c r="A227" s="58" t="s">
        <v>349</v>
      </c>
      <c r="B227" s="99" t="s">
        <v>350</v>
      </c>
      <c r="C227" s="60"/>
      <c r="D227" s="131"/>
      <c r="E227" s="51"/>
      <c r="F227" s="89"/>
    </row>
    <row r="228" spans="1:6" ht="15" customHeight="1" x14ac:dyDescent="0.3">
      <c r="A228" s="65"/>
      <c r="B228" s="113"/>
      <c r="C228" s="60"/>
      <c r="D228" s="218"/>
      <c r="E228" s="80"/>
      <c r="F228" s="119"/>
    </row>
    <row r="229" spans="1:6" ht="15" customHeight="1" x14ac:dyDescent="0.3">
      <c r="A229" s="64" t="s">
        <v>32</v>
      </c>
      <c r="B229" s="111" t="s">
        <v>354</v>
      </c>
      <c r="C229" s="60"/>
      <c r="D229" s="218"/>
      <c r="E229" s="80"/>
      <c r="F229" s="119"/>
    </row>
    <row r="230" spans="1:6" ht="15" customHeight="1" x14ac:dyDescent="0.3">
      <c r="A230" s="64" t="s">
        <v>41</v>
      </c>
      <c r="B230" s="127" t="s">
        <v>355</v>
      </c>
      <c r="C230" s="60"/>
      <c r="D230" s="131"/>
      <c r="E230" s="80"/>
      <c r="F230" s="119"/>
    </row>
    <row r="231" spans="1:6" ht="24.9" customHeight="1" x14ac:dyDescent="0.3">
      <c r="A231" s="66" t="s">
        <v>356</v>
      </c>
      <c r="B231" s="69" t="s">
        <v>426</v>
      </c>
      <c r="C231" s="62" t="s">
        <v>18</v>
      </c>
      <c r="D231" s="70">
        <v>1</v>
      </c>
      <c r="E231" s="383"/>
      <c r="F231" s="591"/>
    </row>
    <row r="232" spans="1:6" ht="24.9" customHeight="1" x14ac:dyDescent="0.3">
      <c r="A232" s="66" t="s">
        <v>357</v>
      </c>
      <c r="B232" s="69" t="s">
        <v>362</v>
      </c>
      <c r="C232" s="62" t="s">
        <v>18</v>
      </c>
      <c r="D232" s="70">
        <f>1+1</f>
        <v>2</v>
      </c>
      <c r="E232" s="383"/>
      <c r="F232" s="591"/>
    </row>
    <row r="233" spans="1:6" ht="24.9" customHeight="1" x14ac:dyDescent="0.3">
      <c r="A233" s="66" t="s">
        <v>427</v>
      </c>
      <c r="B233" s="69" t="s">
        <v>363</v>
      </c>
      <c r="C233" s="60" t="s">
        <v>18</v>
      </c>
      <c r="D233" s="131">
        <f>1+1</f>
        <v>2</v>
      </c>
      <c r="E233" s="393"/>
      <c r="F233" s="591"/>
    </row>
    <row r="234" spans="1:6" ht="15" customHeight="1" x14ac:dyDescent="0.3">
      <c r="A234" s="64" t="s">
        <v>33</v>
      </c>
      <c r="B234" s="127" t="s">
        <v>358</v>
      </c>
      <c r="C234" s="60" t="s">
        <v>6</v>
      </c>
      <c r="D234" s="219"/>
      <c r="E234" s="393"/>
      <c r="F234" s="591"/>
    </row>
    <row r="235" spans="1:6" ht="24.9" customHeight="1" x14ac:dyDescent="0.3">
      <c r="A235" s="66" t="s">
        <v>359</v>
      </c>
      <c r="B235" s="69" t="s">
        <v>353</v>
      </c>
      <c r="C235" s="62" t="s">
        <v>18</v>
      </c>
      <c r="D235" s="70">
        <v>5</v>
      </c>
      <c r="E235" s="383"/>
      <c r="F235" s="591"/>
    </row>
    <row r="236" spans="1:6" ht="24.9" customHeight="1" x14ac:dyDescent="0.3">
      <c r="A236" s="66" t="s">
        <v>360</v>
      </c>
      <c r="B236" s="69" t="s">
        <v>352</v>
      </c>
      <c r="C236" s="62" t="s">
        <v>18</v>
      </c>
      <c r="D236" s="70">
        <v>1</v>
      </c>
      <c r="E236" s="383"/>
      <c r="F236" s="591"/>
    </row>
    <row r="237" spans="1:6" ht="24.9" customHeight="1" x14ac:dyDescent="0.3">
      <c r="A237" s="66" t="s">
        <v>361</v>
      </c>
      <c r="B237" s="69" t="s">
        <v>351</v>
      </c>
      <c r="C237" s="62" t="s">
        <v>18</v>
      </c>
      <c r="D237" s="70">
        <v>2</v>
      </c>
      <c r="E237" s="383"/>
      <c r="F237" s="591"/>
    </row>
    <row r="238" spans="1:6" ht="15" customHeight="1" x14ac:dyDescent="0.3">
      <c r="A238" s="64" t="s">
        <v>34</v>
      </c>
      <c r="B238" s="111" t="s">
        <v>50</v>
      </c>
      <c r="C238" s="60"/>
      <c r="D238" s="131"/>
      <c r="E238" s="393"/>
      <c r="F238" s="591"/>
    </row>
    <row r="239" spans="1:6" ht="24.9" customHeight="1" x14ac:dyDescent="0.3">
      <c r="A239" s="65" t="s">
        <v>68</v>
      </c>
      <c r="B239" s="69" t="s">
        <v>364</v>
      </c>
      <c r="C239" s="163" t="s">
        <v>131</v>
      </c>
      <c r="D239" s="70">
        <f>2*2.8</f>
        <v>5.6</v>
      </c>
      <c r="E239" s="383"/>
      <c r="F239" s="591"/>
    </row>
    <row r="240" spans="1:6" ht="15" customHeight="1" thickBot="1" x14ac:dyDescent="0.35">
      <c r="A240" s="700"/>
      <c r="B240" s="717"/>
      <c r="C240" s="718"/>
      <c r="D240" s="719"/>
      <c r="E240" s="207"/>
      <c r="F240" s="115"/>
    </row>
    <row r="241" spans="1:6" ht="15" customHeight="1" thickBot="1" x14ac:dyDescent="0.35">
      <c r="A241" s="767" t="s">
        <v>366</v>
      </c>
      <c r="B241" s="768"/>
      <c r="C241" s="768"/>
      <c r="D241" s="768"/>
      <c r="E241" s="768"/>
      <c r="F241" s="586"/>
    </row>
    <row r="242" spans="1:6" ht="15" customHeight="1" x14ac:dyDescent="0.3">
      <c r="A242" s="54"/>
      <c r="B242" s="111"/>
      <c r="C242" s="60"/>
      <c r="D242" s="218"/>
      <c r="E242" s="80"/>
      <c r="F242" s="112"/>
    </row>
    <row r="243" spans="1:6" ht="15" customHeight="1" x14ac:dyDescent="0.3">
      <c r="A243" s="58" t="s">
        <v>367</v>
      </c>
      <c r="B243" s="99" t="s">
        <v>368</v>
      </c>
      <c r="C243" s="60"/>
      <c r="D243" s="131"/>
      <c r="E243" s="51"/>
      <c r="F243" s="89"/>
    </row>
    <row r="244" spans="1:6" ht="15" customHeight="1" x14ac:dyDescent="0.3">
      <c r="A244" s="54"/>
      <c r="B244" s="111"/>
      <c r="C244" s="60"/>
      <c r="D244" s="218"/>
      <c r="E244" s="80"/>
      <c r="F244" s="112"/>
    </row>
    <row r="245" spans="1:6" ht="15" customHeight="1" x14ac:dyDescent="0.3">
      <c r="A245" s="64" t="s">
        <v>64</v>
      </c>
      <c r="B245" s="111" t="s">
        <v>369</v>
      </c>
      <c r="C245" s="60"/>
      <c r="D245" s="218"/>
      <c r="E245" s="80"/>
      <c r="F245" s="119"/>
    </row>
    <row r="246" spans="1:6" ht="24.9" customHeight="1" x14ac:dyDescent="0.3">
      <c r="A246" s="66" t="s">
        <v>65</v>
      </c>
      <c r="B246" s="69" t="s">
        <v>370</v>
      </c>
      <c r="C246" s="163" t="s">
        <v>131</v>
      </c>
      <c r="D246" s="70">
        <f>+D218</f>
        <v>43.07</v>
      </c>
      <c r="E246" s="383"/>
      <c r="F246" s="591"/>
    </row>
    <row r="247" spans="1:6" ht="15" customHeight="1" x14ac:dyDescent="0.3">
      <c r="A247" s="64" t="s">
        <v>66</v>
      </c>
      <c r="B247" s="111" t="s">
        <v>704</v>
      </c>
      <c r="C247" s="60"/>
      <c r="D247" s="131"/>
      <c r="E247" s="393"/>
      <c r="F247" s="591"/>
    </row>
    <row r="248" spans="1:6" ht="24.9" customHeight="1" x14ac:dyDescent="0.3">
      <c r="A248" s="66" t="s">
        <v>67</v>
      </c>
      <c r="B248" s="69" t="s">
        <v>672</v>
      </c>
      <c r="C248" s="163" t="s">
        <v>131</v>
      </c>
      <c r="D248" s="70">
        <f>(4*5.89+2*6.78)*0.6</f>
        <v>22.271999999999998</v>
      </c>
      <c r="E248" s="383"/>
      <c r="F248" s="591"/>
    </row>
    <row r="249" spans="1:6" ht="15" customHeight="1" thickBot="1" x14ac:dyDescent="0.35">
      <c r="A249" s="64"/>
      <c r="B249" s="111"/>
      <c r="C249" s="60"/>
      <c r="D249" s="218"/>
      <c r="E249" s="80"/>
      <c r="F249" s="119"/>
    </row>
    <row r="250" spans="1:6" ht="15" customHeight="1" thickBot="1" x14ac:dyDescent="0.35">
      <c r="A250" s="767" t="s">
        <v>371</v>
      </c>
      <c r="B250" s="768"/>
      <c r="C250" s="768"/>
      <c r="D250" s="768"/>
      <c r="E250" s="768"/>
      <c r="F250" s="586"/>
    </row>
    <row r="251" spans="1:6" ht="15" customHeight="1" x14ac:dyDescent="0.3">
      <c r="A251" s="64"/>
      <c r="B251" s="111"/>
      <c r="C251" s="60"/>
      <c r="D251" s="218"/>
      <c r="E251" s="80"/>
      <c r="F251" s="119"/>
    </row>
    <row r="252" spans="1:6" ht="15" customHeight="1" x14ac:dyDescent="0.3">
      <c r="A252" s="58" t="s">
        <v>372</v>
      </c>
      <c r="B252" s="99" t="s">
        <v>373</v>
      </c>
      <c r="C252" s="60"/>
      <c r="D252" s="131"/>
      <c r="E252" s="51"/>
      <c r="F252" s="89"/>
    </row>
    <row r="253" spans="1:6" ht="15" customHeight="1" x14ac:dyDescent="0.3">
      <c r="A253" s="64"/>
      <c r="B253" s="111"/>
      <c r="C253" s="60"/>
      <c r="D253" s="218"/>
      <c r="E253" s="80"/>
      <c r="F253" s="119"/>
    </row>
    <row r="254" spans="1:6" ht="15" customHeight="1" x14ac:dyDescent="0.3">
      <c r="A254" s="64" t="s">
        <v>35</v>
      </c>
      <c r="B254" s="111" t="s">
        <v>374</v>
      </c>
      <c r="C254" s="60" t="s">
        <v>6</v>
      </c>
      <c r="D254" s="131"/>
      <c r="E254" s="80"/>
      <c r="F254" s="119"/>
    </row>
    <row r="255" spans="1:6" ht="15" customHeight="1" x14ac:dyDescent="0.3">
      <c r="A255" s="64" t="s">
        <v>56</v>
      </c>
      <c r="B255" s="127" t="s">
        <v>376</v>
      </c>
      <c r="C255" s="60"/>
      <c r="D255" s="131"/>
      <c r="E255" s="80"/>
      <c r="F255" s="119"/>
    </row>
    <row r="256" spans="1:6" ht="15" customHeight="1" x14ac:dyDescent="0.3">
      <c r="A256" s="65" t="s">
        <v>377</v>
      </c>
      <c r="B256" s="113" t="s">
        <v>375</v>
      </c>
      <c r="C256" s="163" t="s">
        <v>131</v>
      </c>
      <c r="D256" s="131">
        <f>+D69+D70</f>
        <v>278.11599999999999</v>
      </c>
      <c r="E256" s="393">
        <v>200</v>
      </c>
      <c r="F256" s="591">
        <f>+D256*E256</f>
        <v>55623.199999999997</v>
      </c>
    </row>
    <row r="257" spans="1:6" ht="15" customHeight="1" x14ac:dyDescent="0.3">
      <c r="A257" s="64" t="s">
        <v>36</v>
      </c>
      <c r="B257" s="111" t="s">
        <v>378</v>
      </c>
      <c r="C257" s="60"/>
      <c r="D257" s="131"/>
      <c r="E257" s="393"/>
      <c r="F257" s="591"/>
    </row>
    <row r="258" spans="1:6" ht="15" customHeight="1" x14ac:dyDescent="0.3">
      <c r="A258" s="64" t="s">
        <v>59</v>
      </c>
      <c r="B258" s="127" t="s">
        <v>379</v>
      </c>
      <c r="C258" s="60"/>
      <c r="D258" s="131"/>
      <c r="E258" s="393"/>
      <c r="F258" s="591"/>
    </row>
    <row r="259" spans="1:6" ht="15" customHeight="1" x14ac:dyDescent="0.3">
      <c r="A259" s="65" t="s">
        <v>380</v>
      </c>
      <c r="B259" s="113" t="s">
        <v>383</v>
      </c>
      <c r="C259" s="163" t="s">
        <v>131</v>
      </c>
      <c r="D259" s="131">
        <f>+D70+2*6.4*0.6</f>
        <v>187.96600000000001</v>
      </c>
      <c r="E259" s="393"/>
      <c r="F259" s="591"/>
    </row>
    <row r="260" spans="1:6" ht="15" customHeight="1" x14ac:dyDescent="0.3">
      <c r="A260" s="64" t="s">
        <v>60</v>
      </c>
      <c r="B260" s="127" t="s">
        <v>382</v>
      </c>
      <c r="C260" s="60"/>
      <c r="D260" s="131"/>
      <c r="E260" s="393"/>
      <c r="F260" s="591"/>
    </row>
    <row r="261" spans="1:6" ht="15" customHeight="1" x14ac:dyDescent="0.3">
      <c r="A261" s="65" t="s">
        <v>569</v>
      </c>
      <c r="B261" s="113" t="s">
        <v>384</v>
      </c>
      <c r="C261" s="163" t="s">
        <v>131</v>
      </c>
      <c r="D261" s="131">
        <f>+D69</f>
        <v>97.83</v>
      </c>
      <c r="E261" s="393"/>
      <c r="F261" s="591"/>
    </row>
    <row r="262" spans="1:6" ht="15" customHeight="1" x14ac:dyDescent="0.3">
      <c r="A262" s="64" t="s">
        <v>43</v>
      </c>
      <c r="B262" s="111" t="s">
        <v>385</v>
      </c>
      <c r="C262" s="60"/>
      <c r="D262" s="131"/>
      <c r="E262" s="393"/>
      <c r="F262" s="591"/>
    </row>
    <row r="263" spans="1:6" ht="15" customHeight="1" x14ac:dyDescent="0.3">
      <c r="A263" s="64" t="s">
        <v>61</v>
      </c>
      <c r="B263" s="127" t="s">
        <v>431</v>
      </c>
      <c r="C263" s="60"/>
      <c r="D263" s="131"/>
      <c r="E263" s="393"/>
      <c r="F263" s="591"/>
    </row>
    <row r="264" spans="1:6" ht="15" customHeight="1" x14ac:dyDescent="0.3">
      <c r="A264" s="66" t="s">
        <v>390</v>
      </c>
      <c r="B264" s="69" t="s">
        <v>384</v>
      </c>
      <c r="C264" s="163" t="s">
        <v>131</v>
      </c>
      <c r="D264" s="70">
        <f>2.2*2*(1+2*0.9+2*0.8)+2*(0.03*2*1.14)+0.54*4*0.18*2+2*(0.03*5*2.34)+1.14*4*0.18*5+2*(0.03*2.14)+0.94*4*0.18</f>
        <v>25.885600000000004</v>
      </c>
      <c r="E264" s="383"/>
      <c r="F264" s="591"/>
    </row>
    <row r="265" spans="1:6" ht="15" customHeight="1" x14ac:dyDescent="0.3">
      <c r="A265" s="82" t="s">
        <v>62</v>
      </c>
      <c r="B265" s="130" t="s">
        <v>392</v>
      </c>
      <c r="C265" s="62"/>
      <c r="D265" s="70"/>
      <c r="E265" s="383"/>
      <c r="F265" s="591"/>
    </row>
    <row r="266" spans="1:6" ht="15" customHeight="1" x14ac:dyDescent="0.3">
      <c r="A266" s="66" t="s">
        <v>391</v>
      </c>
      <c r="B266" s="69" t="s">
        <v>383</v>
      </c>
      <c r="C266" s="163" t="s">
        <v>131</v>
      </c>
      <c r="D266" s="70">
        <f>+D246+D248+(4*5.89+2*6.78)*0.3</f>
        <v>76.477999999999994</v>
      </c>
      <c r="E266" s="383"/>
      <c r="F266" s="591"/>
    </row>
    <row r="267" spans="1:6" ht="15" customHeight="1" x14ac:dyDescent="0.3">
      <c r="A267" s="64" t="s">
        <v>63</v>
      </c>
      <c r="B267" s="127" t="s">
        <v>388</v>
      </c>
      <c r="C267" s="60"/>
      <c r="D267" s="131"/>
      <c r="E267" s="393"/>
      <c r="F267" s="591"/>
    </row>
    <row r="268" spans="1:6" ht="15" customHeight="1" x14ac:dyDescent="0.3">
      <c r="A268" s="65" t="s">
        <v>394</v>
      </c>
      <c r="B268" s="69" t="s">
        <v>683</v>
      </c>
      <c r="C268" s="163" t="s">
        <v>131</v>
      </c>
      <c r="D268" s="131">
        <f>+D97+D98+D99</f>
        <v>12.759999999999998</v>
      </c>
      <c r="E268" s="393"/>
      <c r="F268" s="591"/>
    </row>
    <row r="269" spans="1:6" ht="15" customHeight="1" x14ac:dyDescent="0.3">
      <c r="A269" s="65" t="s">
        <v>603</v>
      </c>
      <c r="B269" s="69" t="s">
        <v>686</v>
      </c>
      <c r="C269" s="163" t="s">
        <v>131</v>
      </c>
      <c r="D269" s="392">
        <f>+D268</f>
        <v>12.759999999999998</v>
      </c>
      <c r="E269" s="393"/>
      <c r="F269" s="591"/>
    </row>
    <row r="270" spans="1:6" ht="15" customHeight="1" x14ac:dyDescent="0.3">
      <c r="A270" s="396" t="s">
        <v>487</v>
      </c>
      <c r="B270" s="111" t="s">
        <v>232</v>
      </c>
      <c r="C270" s="60"/>
      <c r="D270" s="392"/>
      <c r="E270" s="393"/>
      <c r="F270" s="591"/>
    </row>
    <row r="271" spans="1:6" ht="24.9" customHeight="1" x14ac:dyDescent="0.3">
      <c r="A271" s="410" t="s">
        <v>488</v>
      </c>
      <c r="B271" s="69" t="s">
        <v>713</v>
      </c>
      <c r="C271" s="62" t="s">
        <v>54</v>
      </c>
      <c r="D271" s="387">
        <v>1</v>
      </c>
      <c r="E271" s="383"/>
      <c r="F271" s="591"/>
    </row>
    <row r="272" spans="1:6" ht="15" customHeight="1" thickBot="1" x14ac:dyDescent="0.35">
      <c r="A272" s="77"/>
      <c r="B272" s="81"/>
      <c r="C272" s="139"/>
      <c r="D272" s="206"/>
      <c r="E272" s="207"/>
      <c r="F272" s="121"/>
    </row>
    <row r="273" spans="1:6" ht="15" customHeight="1" thickBot="1" x14ac:dyDescent="0.35">
      <c r="A273" s="767" t="s">
        <v>395</v>
      </c>
      <c r="B273" s="768"/>
      <c r="C273" s="768"/>
      <c r="D273" s="768"/>
      <c r="E273" s="768"/>
      <c r="F273" s="586"/>
    </row>
    <row r="274" spans="1:6" ht="15" customHeight="1" x14ac:dyDescent="0.3">
      <c r="A274" s="140"/>
      <c r="B274" s="141"/>
      <c r="C274" s="141"/>
      <c r="D274" s="141"/>
      <c r="E274" s="141"/>
      <c r="F274" s="596"/>
    </row>
    <row r="275" spans="1:6" ht="15" customHeight="1" x14ac:dyDescent="0.3">
      <c r="A275" s="58" t="s">
        <v>396</v>
      </c>
      <c r="B275" s="99" t="s">
        <v>397</v>
      </c>
      <c r="C275" s="60"/>
      <c r="D275" s="131"/>
      <c r="E275" s="51"/>
      <c r="F275" s="89"/>
    </row>
    <row r="276" spans="1:6" ht="15" customHeight="1" x14ac:dyDescent="0.3">
      <c r="A276" s="64"/>
      <c r="B276" s="111"/>
      <c r="C276" s="60"/>
      <c r="D276" s="218"/>
      <c r="E276" s="80"/>
      <c r="F276" s="119"/>
    </row>
    <row r="277" spans="1:6" ht="15" customHeight="1" x14ac:dyDescent="0.3">
      <c r="A277" s="64" t="s">
        <v>400</v>
      </c>
      <c r="B277" s="111" t="s">
        <v>398</v>
      </c>
      <c r="C277" s="60" t="s">
        <v>6</v>
      </c>
      <c r="D277" s="131"/>
      <c r="E277" s="80"/>
      <c r="F277" s="119"/>
    </row>
    <row r="278" spans="1:6" ht="15" customHeight="1" x14ac:dyDescent="0.3">
      <c r="A278" s="64" t="s">
        <v>401</v>
      </c>
      <c r="B278" s="127" t="s">
        <v>399</v>
      </c>
      <c r="C278" s="60"/>
      <c r="D278" s="131"/>
      <c r="E278" s="80"/>
      <c r="F278" s="119"/>
    </row>
    <row r="279" spans="1:6" ht="24.9" customHeight="1" x14ac:dyDescent="0.3">
      <c r="A279" s="66" t="s">
        <v>402</v>
      </c>
      <c r="B279" s="69" t="s">
        <v>725</v>
      </c>
      <c r="C279" s="163" t="s">
        <v>137</v>
      </c>
      <c r="D279" s="70">
        <f>0.15*0.1*12*6.78</f>
        <v>1.2203999999999999</v>
      </c>
      <c r="E279" s="383"/>
      <c r="F279" s="591"/>
    </row>
    <row r="280" spans="1:6" ht="24.9" customHeight="1" x14ac:dyDescent="0.3">
      <c r="A280" s="65" t="s">
        <v>403</v>
      </c>
      <c r="B280" s="69" t="s">
        <v>716</v>
      </c>
      <c r="C280" s="62" t="s">
        <v>15</v>
      </c>
      <c r="D280" s="70">
        <f>4*5.89+2*6.78</f>
        <v>37.119999999999997</v>
      </c>
      <c r="E280" s="383"/>
      <c r="F280" s="591"/>
    </row>
    <row r="281" spans="1:6" ht="15" customHeight="1" thickBot="1" x14ac:dyDescent="0.35">
      <c r="A281" s="68"/>
      <c r="B281" s="132"/>
      <c r="C281" s="142"/>
      <c r="D281" s="221"/>
      <c r="E281" s="222"/>
      <c r="F281" s="143"/>
    </row>
    <row r="282" spans="1:6" ht="15" customHeight="1" thickBot="1" x14ac:dyDescent="0.35">
      <c r="A282" s="767" t="s">
        <v>404</v>
      </c>
      <c r="B282" s="768"/>
      <c r="C282" s="768"/>
      <c r="D282" s="768"/>
      <c r="E282" s="768"/>
      <c r="F282" s="586"/>
    </row>
    <row r="283" spans="1:6" ht="15" customHeight="1" x14ac:dyDescent="0.3">
      <c r="A283" s="140"/>
      <c r="B283" s="141"/>
      <c r="C283" s="141"/>
      <c r="D283" s="141"/>
      <c r="E283" s="141"/>
      <c r="F283" s="118"/>
    </row>
    <row r="284" spans="1:6" ht="15" customHeight="1" x14ac:dyDescent="0.3">
      <c r="A284" s="58" t="s">
        <v>405</v>
      </c>
      <c r="B284" s="99" t="s">
        <v>408</v>
      </c>
      <c r="C284" s="60"/>
      <c r="D284" s="131"/>
      <c r="E284" s="615"/>
      <c r="F284" s="614"/>
    </row>
    <row r="285" spans="1:6" ht="15" customHeight="1" x14ac:dyDescent="0.3">
      <c r="A285" s="64"/>
      <c r="B285" s="111"/>
      <c r="C285" s="60"/>
      <c r="D285" s="218"/>
      <c r="E285" s="80"/>
      <c r="F285" s="119"/>
    </row>
    <row r="286" spans="1:6" ht="15" customHeight="1" x14ac:dyDescent="0.3">
      <c r="A286" s="64" t="s">
        <v>46</v>
      </c>
      <c r="B286" s="111" t="s">
        <v>409</v>
      </c>
      <c r="C286" s="60" t="s">
        <v>6</v>
      </c>
      <c r="D286" s="131"/>
      <c r="E286" s="80"/>
      <c r="F286" s="119"/>
    </row>
    <row r="287" spans="1:6" ht="15" customHeight="1" x14ac:dyDescent="0.3">
      <c r="A287" s="64" t="s">
        <v>55</v>
      </c>
      <c r="B287" s="127" t="s">
        <v>538</v>
      </c>
      <c r="C287" s="60"/>
      <c r="D287" s="131"/>
      <c r="E287" s="80"/>
      <c r="F287" s="119"/>
    </row>
    <row r="288" spans="1:6" ht="15" customHeight="1" x14ac:dyDescent="0.3">
      <c r="A288" s="66" t="s">
        <v>406</v>
      </c>
      <c r="B288" s="69" t="s">
        <v>433</v>
      </c>
      <c r="C288" s="163" t="s">
        <v>131</v>
      </c>
      <c r="D288" s="70">
        <f>2*(6.1*6.78)</f>
        <v>82.715999999999994</v>
      </c>
      <c r="E288" s="383"/>
      <c r="F288" s="591"/>
    </row>
    <row r="289" spans="1:6" ht="15" customHeight="1" x14ac:dyDescent="0.3">
      <c r="A289" s="65" t="s">
        <v>407</v>
      </c>
      <c r="B289" s="69" t="s">
        <v>434</v>
      </c>
      <c r="C289" s="62" t="s">
        <v>15</v>
      </c>
      <c r="D289" s="70">
        <v>6.78</v>
      </c>
      <c r="E289" s="383"/>
      <c r="F289" s="591"/>
    </row>
    <row r="290" spans="1:6" ht="15" customHeight="1" thickBot="1" x14ac:dyDescent="0.35">
      <c r="A290" s="68"/>
      <c r="B290" s="132"/>
      <c r="C290" s="142"/>
      <c r="D290" s="221"/>
      <c r="E290" s="222"/>
      <c r="F290" s="143"/>
    </row>
    <row r="291" spans="1:6" ht="15" customHeight="1" thickBot="1" x14ac:dyDescent="0.35">
      <c r="A291" s="767" t="s">
        <v>410</v>
      </c>
      <c r="B291" s="768"/>
      <c r="C291" s="768"/>
      <c r="D291" s="768"/>
      <c r="E291" s="768"/>
      <c r="F291" s="586"/>
    </row>
    <row r="292" spans="1:6" ht="15" customHeight="1" thickBot="1" x14ac:dyDescent="0.35">
      <c r="A292" s="703"/>
      <c r="B292" s="720"/>
      <c r="C292" s="67"/>
      <c r="D292" s="721"/>
      <c r="E292" s="722"/>
      <c r="F292" s="723"/>
    </row>
    <row r="293" spans="1:6" ht="24.9" customHeight="1" thickTop="1" thickBot="1" x14ac:dyDescent="0.35">
      <c r="A293" s="769" t="s">
        <v>689</v>
      </c>
      <c r="B293" s="770"/>
      <c r="C293" s="770"/>
      <c r="D293" s="770"/>
      <c r="E293" s="771"/>
      <c r="F293" s="772"/>
    </row>
    <row r="294" spans="1:6" ht="15" customHeight="1" thickTop="1" x14ac:dyDescent="0.3">
      <c r="A294" s="53"/>
      <c r="B294" s="45"/>
      <c r="C294" s="45"/>
      <c r="D294" s="45"/>
      <c r="E294" s="45"/>
      <c r="F294" s="45"/>
    </row>
    <row r="295" spans="1:6" ht="15" customHeight="1" x14ac:dyDescent="0.3">
      <c r="A295" s="53"/>
      <c r="B295" s="45"/>
      <c r="C295" s="45"/>
      <c r="D295" s="45"/>
      <c r="E295" s="45"/>
      <c r="F295" s="45"/>
    </row>
    <row r="296" spans="1:6" ht="15" customHeight="1" x14ac:dyDescent="0.3">
      <c r="A296" s="53"/>
      <c r="B296" s="45"/>
      <c r="C296" s="45"/>
      <c r="D296" s="45"/>
      <c r="E296" s="45"/>
      <c r="F296" s="45"/>
    </row>
    <row r="297" spans="1:6" ht="15" customHeight="1" x14ac:dyDescent="0.3">
      <c r="A297" s="53"/>
      <c r="B297" s="45"/>
      <c r="C297" s="45"/>
      <c r="D297" s="45"/>
      <c r="E297" s="45"/>
      <c r="F297" s="45"/>
    </row>
    <row r="298" spans="1:6" ht="15" customHeight="1" x14ac:dyDescent="0.3">
      <c r="A298" s="53"/>
      <c r="B298" s="45"/>
      <c r="C298" s="45"/>
      <c r="D298" s="45"/>
      <c r="E298" s="45"/>
      <c r="F298" s="45"/>
    </row>
    <row r="299" spans="1:6" ht="15" customHeight="1" x14ac:dyDescent="0.3">
      <c r="A299" s="53"/>
      <c r="B299" s="45"/>
      <c r="C299" s="45"/>
      <c r="D299" s="45"/>
      <c r="E299" s="45"/>
      <c r="F299" s="45"/>
    </row>
    <row r="300" spans="1:6" ht="15" customHeight="1" x14ac:dyDescent="0.3">
      <c r="A300" s="53"/>
      <c r="B300" s="45"/>
      <c r="C300" s="45"/>
      <c r="D300" s="45"/>
      <c r="E300" s="45"/>
      <c r="F300" s="45"/>
    </row>
    <row r="301" spans="1:6" ht="15" customHeight="1" x14ac:dyDescent="0.3">
      <c r="A301" s="53"/>
      <c r="B301" s="45"/>
      <c r="C301" s="45"/>
      <c r="D301" s="45"/>
      <c r="E301" s="45"/>
      <c r="F301" s="45"/>
    </row>
    <row r="302" spans="1:6" ht="15" customHeight="1" thickBot="1" x14ac:dyDescent="0.35">
      <c r="A302" s="53"/>
      <c r="B302" s="45"/>
      <c r="C302" s="45"/>
      <c r="D302" s="45"/>
      <c r="E302" s="45"/>
      <c r="F302" s="45"/>
    </row>
    <row r="303" spans="1:6" ht="33.75" customHeight="1" x14ac:dyDescent="0.3">
      <c r="A303" s="775" t="s">
        <v>714</v>
      </c>
      <c r="B303" s="776"/>
      <c r="C303" s="776"/>
      <c r="D303" s="776"/>
      <c r="E303" s="776"/>
      <c r="F303" s="777"/>
    </row>
    <row r="304" spans="1:6" ht="15" customHeight="1" thickBot="1" x14ac:dyDescent="0.35">
      <c r="A304" s="149"/>
      <c r="B304" s="150"/>
      <c r="C304" s="150"/>
      <c r="D304" s="150"/>
      <c r="E304" s="150"/>
      <c r="F304" s="151"/>
    </row>
    <row r="305" spans="1:6" ht="24.9" customHeight="1" thickTop="1" thickBot="1" x14ac:dyDescent="0.35">
      <c r="A305" s="153" t="s">
        <v>38</v>
      </c>
      <c r="B305" s="778" t="s">
        <v>39</v>
      </c>
      <c r="C305" s="778"/>
      <c r="D305" s="778"/>
      <c r="E305" s="778" t="s">
        <v>411</v>
      </c>
      <c r="F305" s="787"/>
    </row>
    <row r="306" spans="1:6" ht="15" customHeight="1" thickTop="1" x14ac:dyDescent="0.3">
      <c r="A306" s="152"/>
      <c r="B306" s="779"/>
      <c r="C306" s="779"/>
      <c r="D306" s="779"/>
      <c r="E306" s="788"/>
      <c r="F306" s="789"/>
    </row>
    <row r="307" spans="1:6" ht="15" customHeight="1" x14ac:dyDescent="0.3">
      <c r="A307" s="224" t="s">
        <v>143</v>
      </c>
      <c r="B307" s="773" t="s">
        <v>95</v>
      </c>
      <c r="C307" s="773"/>
      <c r="D307" s="773"/>
      <c r="E307" s="780">
        <f>+F13</f>
        <v>0</v>
      </c>
      <c r="F307" s="781"/>
    </row>
    <row r="308" spans="1:6" ht="15" customHeight="1" x14ac:dyDescent="0.3">
      <c r="A308" s="225" t="s">
        <v>144</v>
      </c>
      <c r="B308" s="774" t="s">
        <v>100</v>
      </c>
      <c r="C308" s="774"/>
      <c r="D308" s="774"/>
      <c r="E308" s="780">
        <f>+F27</f>
        <v>0</v>
      </c>
      <c r="F308" s="781"/>
    </row>
    <row r="309" spans="1:6" ht="15" customHeight="1" x14ac:dyDescent="0.3">
      <c r="A309" s="226" t="s">
        <v>136</v>
      </c>
      <c r="B309" s="792" t="s">
        <v>103</v>
      </c>
      <c r="C309" s="793"/>
      <c r="D309" s="794"/>
      <c r="E309" s="795">
        <f>+F77</f>
        <v>0</v>
      </c>
      <c r="F309" s="796"/>
    </row>
    <row r="310" spans="1:6" ht="15" customHeight="1" x14ac:dyDescent="0.3">
      <c r="A310" s="226" t="s">
        <v>176</v>
      </c>
      <c r="B310" s="792" t="s">
        <v>177</v>
      </c>
      <c r="C310" s="793"/>
      <c r="D310" s="794"/>
      <c r="E310" s="795">
        <f>+F85</f>
        <v>0</v>
      </c>
      <c r="F310" s="796"/>
    </row>
    <row r="311" spans="1:6" ht="15" customHeight="1" x14ac:dyDescent="0.3">
      <c r="A311" s="226" t="s">
        <v>182</v>
      </c>
      <c r="B311" s="792" t="s">
        <v>656</v>
      </c>
      <c r="C311" s="793"/>
      <c r="D311" s="794"/>
      <c r="E311" s="795">
        <f>+F92</f>
        <v>0</v>
      </c>
      <c r="F311" s="796"/>
    </row>
    <row r="312" spans="1:6" ht="15" customHeight="1" x14ac:dyDescent="0.3">
      <c r="A312" s="226" t="s">
        <v>183</v>
      </c>
      <c r="B312" s="792" t="s">
        <v>184</v>
      </c>
      <c r="C312" s="793"/>
      <c r="D312" s="794"/>
      <c r="E312" s="795">
        <f>+F101</f>
        <v>0</v>
      </c>
      <c r="F312" s="796"/>
    </row>
    <row r="313" spans="1:6" ht="15" customHeight="1" x14ac:dyDescent="0.3">
      <c r="A313" s="226" t="s">
        <v>195</v>
      </c>
      <c r="B313" s="792" t="s">
        <v>196</v>
      </c>
      <c r="C313" s="793"/>
      <c r="D313" s="794"/>
      <c r="E313" s="795">
        <f>+F128</f>
        <v>0</v>
      </c>
      <c r="F313" s="796"/>
    </row>
    <row r="314" spans="1:6" ht="15" customHeight="1" x14ac:dyDescent="0.3">
      <c r="A314" s="226" t="s">
        <v>226</v>
      </c>
      <c r="B314" s="792" t="s">
        <v>227</v>
      </c>
      <c r="C314" s="793"/>
      <c r="D314" s="794"/>
      <c r="E314" s="795">
        <f>+F144</f>
        <v>0</v>
      </c>
      <c r="F314" s="796"/>
    </row>
    <row r="315" spans="1:6" ht="15" customHeight="1" x14ac:dyDescent="0.3">
      <c r="A315" s="226" t="s">
        <v>249</v>
      </c>
      <c r="B315" s="792" t="s">
        <v>250</v>
      </c>
      <c r="C315" s="793"/>
      <c r="D315" s="794"/>
      <c r="E315" s="795">
        <f>+F178</f>
        <v>0</v>
      </c>
      <c r="F315" s="796"/>
    </row>
    <row r="316" spans="1:6" ht="15" customHeight="1" x14ac:dyDescent="0.3">
      <c r="A316" s="226" t="s">
        <v>292</v>
      </c>
      <c r="B316" s="792" t="s">
        <v>293</v>
      </c>
      <c r="C316" s="793"/>
      <c r="D316" s="794"/>
      <c r="E316" s="795">
        <f>+F190</f>
        <v>0</v>
      </c>
      <c r="F316" s="796"/>
    </row>
    <row r="317" spans="1:6" ht="15" customHeight="1" x14ac:dyDescent="0.3">
      <c r="A317" s="226" t="s">
        <v>309</v>
      </c>
      <c r="B317" s="792" t="s">
        <v>310</v>
      </c>
      <c r="C317" s="793"/>
      <c r="D317" s="794"/>
      <c r="E317" s="795">
        <f>+F204</f>
        <v>0</v>
      </c>
      <c r="F317" s="796"/>
    </row>
    <row r="318" spans="1:6" ht="15" customHeight="1" x14ac:dyDescent="0.3">
      <c r="A318" s="226" t="s">
        <v>327</v>
      </c>
      <c r="B318" s="792" t="s">
        <v>328</v>
      </c>
      <c r="C318" s="793"/>
      <c r="D318" s="794"/>
      <c r="E318" s="795">
        <f>+F212</f>
        <v>0</v>
      </c>
      <c r="F318" s="796"/>
    </row>
    <row r="319" spans="1:6" ht="15" customHeight="1" x14ac:dyDescent="0.3">
      <c r="A319" s="226" t="s">
        <v>334</v>
      </c>
      <c r="B319" s="792" t="s">
        <v>335</v>
      </c>
      <c r="C319" s="793"/>
      <c r="D319" s="794"/>
      <c r="E319" s="795">
        <f>+F225</f>
        <v>0</v>
      </c>
      <c r="F319" s="796"/>
    </row>
    <row r="320" spans="1:6" ht="15" customHeight="1" x14ac:dyDescent="0.3">
      <c r="A320" s="226" t="s">
        <v>349</v>
      </c>
      <c r="B320" s="792" t="s">
        <v>350</v>
      </c>
      <c r="C320" s="793"/>
      <c r="D320" s="794"/>
      <c r="E320" s="795">
        <f>+F241</f>
        <v>0</v>
      </c>
      <c r="F320" s="796"/>
    </row>
    <row r="321" spans="1:6" ht="15" customHeight="1" x14ac:dyDescent="0.3">
      <c r="A321" s="226" t="s">
        <v>367</v>
      </c>
      <c r="B321" s="792" t="s">
        <v>368</v>
      </c>
      <c r="C321" s="793"/>
      <c r="D321" s="794"/>
      <c r="E321" s="795">
        <f>+F250</f>
        <v>0</v>
      </c>
      <c r="F321" s="796"/>
    </row>
    <row r="322" spans="1:6" ht="15" customHeight="1" x14ac:dyDescent="0.3">
      <c r="A322" s="226" t="s">
        <v>372</v>
      </c>
      <c r="B322" s="792" t="s">
        <v>373</v>
      </c>
      <c r="C322" s="793"/>
      <c r="D322" s="794"/>
      <c r="E322" s="795">
        <f>+F273</f>
        <v>0</v>
      </c>
      <c r="F322" s="796"/>
    </row>
    <row r="323" spans="1:6" ht="15" customHeight="1" x14ac:dyDescent="0.3">
      <c r="A323" s="226" t="s">
        <v>396</v>
      </c>
      <c r="B323" s="792" t="s">
        <v>397</v>
      </c>
      <c r="C323" s="793"/>
      <c r="D323" s="794"/>
      <c r="E323" s="795">
        <f>+F282</f>
        <v>0</v>
      </c>
      <c r="F323" s="796"/>
    </row>
    <row r="324" spans="1:6" ht="15" customHeight="1" x14ac:dyDescent="0.3">
      <c r="A324" s="226" t="s">
        <v>405</v>
      </c>
      <c r="B324" s="792" t="s">
        <v>408</v>
      </c>
      <c r="C324" s="793"/>
      <c r="D324" s="794"/>
      <c r="E324" s="795">
        <f>+F291</f>
        <v>0</v>
      </c>
      <c r="F324" s="796"/>
    </row>
    <row r="325" spans="1:6" ht="15" customHeight="1" thickBot="1" x14ac:dyDescent="0.35">
      <c r="A325" s="159"/>
      <c r="B325" s="797"/>
      <c r="C325" s="798"/>
      <c r="D325" s="799"/>
      <c r="E325" s="790"/>
      <c r="F325" s="791"/>
    </row>
    <row r="326" spans="1:6" ht="24.9" customHeight="1" thickTop="1" thickBot="1" x14ac:dyDescent="0.35">
      <c r="A326" s="782" t="s">
        <v>689</v>
      </c>
      <c r="B326" s="783"/>
      <c r="C326" s="783"/>
      <c r="D326" s="784"/>
      <c r="E326" s="785">
        <f>+SUM(E307:E324)</f>
        <v>0</v>
      </c>
      <c r="F326" s="786"/>
    </row>
    <row r="327" spans="1:6" ht="15" thickTop="1" x14ac:dyDescent="0.3">
      <c r="A327" s="479"/>
      <c r="B327" s="479"/>
      <c r="C327" s="479"/>
      <c r="D327" s="479"/>
      <c r="E327" s="479"/>
      <c r="F327" s="479"/>
    </row>
  </sheetData>
  <mergeCells count="69">
    <mergeCell ref="B317:D317"/>
    <mergeCell ref="E317:F317"/>
    <mergeCell ref="B318:D318"/>
    <mergeCell ref="E318:F318"/>
    <mergeCell ref="E322:F322"/>
    <mergeCell ref="B319:D319"/>
    <mergeCell ref="E319:F319"/>
    <mergeCell ref="B320:D320"/>
    <mergeCell ref="E320:F320"/>
    <mergeCell ref="B321:D321"/>
    <mergeCell ref="E321:F321"/>
    <mergeCell ref="B322:D322"/>
    <mergeCell ref="B314:D314"/>
    <mergeCell ref="E314:F314"/>
    <mergeCell ref="B315:D315"/>
    <mergeCell ref="E315:F315"/>
    <mergeCell ref="B316:D316"/>
    <mergeCell ref="E316:F316"/>
    <mergeCell ref="A291:E291"/>
    <mergeCell ref="A293:D293"/>
    <mergeCell ref="E293:F293"/>
    <mergeCell ref="A144:E144"/>
    <mergeCell ref="A178:E178"/>
    <mergeCell ref="A190:E190"/>
    <mergeCell ref="A204:E204"/>
    <mergeCell ref="A212:E212"/>
    <mergeCell ref="A225:E225"/>
    <mergeCell ref="A241:E241"/>
    <mergeCell ref="A250:E250"/>
    <mergeCell ref="A273:E273"/>
    <mergeCell ref="A282:E282"/>
    <mergeCell ref="B305:D305"/>
    <mergeCell ref="E305:F305"/>
    <mergeCell ref="B306:D306"/>
    <mergeCell ref="E306:F306"/>
    <mergeCell ref="A303:F303"/>
    <mergeCell ref="A2:F2"/>
    <mergeCell ref="A3:F3"/>
    <mergeCell ref="A13:E13"/>
    <mergeCell ref="A27:E27"/>
    <mergeCell ref="A50:E50"/>
    <mergeCell ref="B323:D323"/>
    <mergeCell ref="E323:F323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24:D324"/>
    <mergeCell ref="E324:F324"/>
    <mergeCell ref="B325:D325"/>
    <mergeCell ref="E325:F325"/>
    <mergeCell ref="A326:D326"/>
    <mergeCell ref="E326:F326"/>
    <mergeCell ref="A128:E128"/>
    <mergeCell ref="A75:E75"/>
    <mergeCell ref="A77:E77"/>
    <mergeCell ref="A85:E85"/>
    <mergeCell ref="A92:E92"/>
    <mergeCell ref="A101:E10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28"/>
  <sheetViews>
    <sheetView topLeftCell="A308" workbookViewId="0">
      <selection activeCell="F336" sqref="F336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766" t="s">
        <v>492</v>
      </c>
      <c r="B2" s="766"/>
      <c r="C2" s="766"/>
      <c r="D2" s="766"/>
      <c r="E2" s="766"/>
      <c r="F2" s="766"/>
    </row>
    <row r="3" spans="1:6" ht="15.6" x14ac:dyDescent="0.3">
      <c r="A3" s="766" t="s">
        <v>496</v>
      </c>
      <c r="B3" s="766"/>
      <c r="C3" s="766"/>
      <c r="D3" s="766"/>
      <c r="E3" s="766"/>
      <c r="F3" s="766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ht="15" customHeight="1" x14ac:dyDescent="0.3">
      <c r="A9" s="42" t="s">
        <v>96</v>
      </c>
      <c r="B9" s="91" t="s">
        <v>88</v>
      </c>
      <c r="C9" s="50"/>
      <c r="D9" s="92"/>
      <c r="E9" s="51"/>
      <c r="F9" s="93"/>
    </row>
    <row r="10" spans="1:6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602"/>
      <c r="F10" s="603"/>
    </row>
    <row r="11" spans="1:6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602"/>
      <c r="F11" s="603"/>
    </row>
    <row r="12" spans="1:6" ht="15" customHeight="1" thickBot="1" x14ac:dyDescent="0.35">
      <c r="A12" s="42"/>
      <c r="B12" s="95"/>
      <c r="C12" s="50"/>
      <c r="D12" s="92"/>
      <c r="E12" s="587"/>
      <c r="F12" s="585"/>
    </row>
    <row r="13" spans="1:6" ht="15" customHeight="1" thickBot="1" x14ac:dyDescent="0.35">
      <c r="A13" s="821" t="s">
        <v>189</v>
      </c>
      <c r="B13" s="822"/>
      <c r="C13" s="822"/>
      <c r="D13" s="822"/>
      <c r="E13" s="823"/>
      <c r="F13" s="586"/>
    </row>
    <row r="14" spans="1:6" ht="15" customHeight="1" x14ac:dyDescent="0.3">
      <c r="A14" s="42"/>
      <c r="B14" s="95"/>
      <c r="C14" s="50"/>
      <c r="D14" s="92"/>
      <c r="E14" s="51"/>
      <c r="F14" s="93"/>
    </row>
    <row r="15" spans="1:6" ht="15" customHeight="1" x14ac:dyDescent="0.3">
      <c r="A15" s="57" t="s">
        <v>144</v>
      </c>
      <c r="B15" s="96" t="s">
        <v>100</v>
      </c>
      <c r="C15" s="50"/>
      <c r="D15" s="164"/>
      <c r="E15" s="51"/>
      <c r="F15" s="93"/>
    </row>
    <row r="16" spans="1:6" s="730" customFormat="1" ht="15" customHeight="1" x14ac:dyDescent="0.3">
      <c r="A16" s="42"/>
      <c r="B16" s="729"/>
      <c r="C16" s="50"/>
      <c r="D16" s="164"/>
      <c r="E16" s="51"/>
      <c r="F16" s="93"/>
    </row>
    <row r="17" spans="1:6" s="613" customFormat="1" ht="15" customHeight="1" x14ac:dyDescent="0.3">
      <c r="A17" s="42" t="s">
        <v>101</v>
      </c>
      <c r="B17" s="97" t="s">
        <v>540</v>
      </c>
      <c r="C17" s="50"/>
      <c r="D17" s="164"/>
      <c r="E17" s="51"/>
      <c r="F17" s="93"/>
    </row>
    <row r="18" spans="1:6" s="613" customFormat="1" ht="15" customHeight="1" x14ac:dyDescent="0.3">
      <c r="A18" s="481" t="s">
        <v>102</v>
      </c>
      <c r="B18" s="94" t="s">
        <v>544</v>
      </c>
      <c r="C18" s="161" t="s">
        <v>412</v>
      </c>
      <c r="D18" s="164">
        <f>15.74*11</f>
        <v>173.14000000000001</v>
      </c>
      <c r="E18" s="602"/>
      <c r="F18" s="603"/>
    </row>
    <row r="19" spans="1:6" s="613" customFormat="1" ht="15" customHeight="1" x14ac:dyDescent="0.3">
      <c r="A19" s="481" t="s">
        <v>543</v>
      </c>
      <c r="B19" s="94" t="s">
        <v>652</v>
      </c>
      <c r="C19" s="161" t="s">
        <v>412</v>
      </c>
      <c r="D19" s="164">
        <v>64.41</v>
      </c>
      <c r="E19" s="602"/>
      <c r="F19" s="603"/>
    </row>
    <row r="20" spans="1:6" ht="15" customHeight="1" x14ac:dyDescent="0.3">
      <c r="A20" s="44" t="s">
        <v>105</v>
      </c>
      <c r="B20" s="97" t="s">
        <v>110</v>
      </c>
      <c r="C20" s="162"/>
      <c r="D20" s="164"/>
      <c r="E20" s="51"/>
      <c r="F20" s="93"/>
    </row>
    <row r="21" spans="1:6" ht="15" customHeight="1" x14ac:dyDescent="0.3">
      <c r="A21" s="43" t="s">
        <v>109</v>
      </c>
      <c r="B21" s="94" t="s">
        <v>106</v>
      </c>
      <c r="C21" s="161" t="s">
        <v>413</v>
      </c>
      <c r="D21" s="164">
        <f>+(6*4+1.1*2+4.06+3.18*2+2.68*2+0.78+3.72+3.18)*0.8</f>
        <v>39.728000000000002</v>
      </c>
      <c r="E21" s="602"/>
      <c r="F21" s="585"/>
    </row>
    <row r="22" spans="1:6" ht="15" customHeight="1" x14ac:dyDescent="0.3">
      <c r="A22" s="44" t="s">
        <v>546</v>
      </c>
      <c r="B22" s="97" t="s">
        <v>111</v>
      </c>
      <c r="C22" s="162"/>
      <c r="D22" s="164"/>
      <c r="E22" s="602"/>
      <c r="F22" s="585"/>
    </row>
    <row r="23" spans="1:6" ht="15" customHeight="1" x14ac:dyDescent="0.3">
      <c r="A23" s="43" t="s">
        <v>547</v>
      </c>
      <c r="B23" s="94" t="s">
        <v>107</v>
      </c>
      <c r="C23" s="161" t="s">
        <v>413</v>
      </c>
      <c r="D23" s="164">
        <f>+D21-49.66*0.3</f>
        <v>24.830000000000005</v>
      </c>
      <c r="E23" s="602"/>
      <c r="F23" s="585"/>
    </row>
    <row r="24" spans="1:6" ht="15" customHeight="1" x14ac:dyDescent="0.3">
      <c r="A24" s="43" t="s">
        <v>548</v>
      </c>
      <c r="B24" s="94" t="s">
        <v>112</v>
      </c>
      <c r="C24" s="161" t="s">
        <v>413</v>
      </c>
      <c r="D24" s="164">
        <f>57.08*0.3</f>
        <v>17.123999999999999</v>
      </c>
      <c r="E24" s="602"/>
      <c r="F24" s="585"/>
    </row>
    <row r="25" spans="1:6" ht="15" customHeight="1" x14ac:dyDescent="0.3">
      <c r="A25" s="43" t="s">
        <v>549</v>
      </c>
      <c r="B25" s="94" t="s">
        <v>108</v>
      </c>
      <c r="C25" s="161" t="s">
        <v>412</v>
      </c>
      <c r="D25" s="164">
        <v>57.08</v>
      </c>
      <c r="E25" s="602"/>
      <c r="F25" s="585"/>
    </row>
    <row r="26" spans="1:6" ht="15" customHeight="1" thickBot="1" x14ac:dyDescent="0.35">
      <c r="A26" s="43"/>
      <c r="B26" s="94"/>
      <c r="C26" s="50"/>
      <c r="D26" s="164"/>
      <c r="E26" s="51"/>
      <c r="F26" s="93"/>
    </row>
    <row r="27" spans="1:6" ht="15" customHeight="1" thickBot="1" x14ac:dyDescent="0.35">
      <c r="A27" s="821" t="s">
        <v>190</v>
      </c>
      <c r="B27" s="822"/>
      <c r="C27" s="822"/>
      <c r="D27" s="822"/>
      <c r="E27" s="823"/>
      <c r="F27" s="586"/>
    </row>
    <row r="28" spans="1:6" ht="15" customHeight="1" x14ac:dyDescent="0.3">
      <c r="A28" s="42"/>
      <c r="B28" s="95"/>
      <c r="C28" s="50"/>
      <c r="D28" s="92"/>
      <c r="E28" s="51"/>
      <c r="F28" s="89"/>
    </row>
    <row r="29" spans="1:6" ht="15" customHeight="1" x14ac:dyDescent="0.3">
      <c r="A29" s="58" t="s">
        <v>136</v>
      </c>
      <c r="B29" s="99" t="s">
        <v>103</v>
      </c>
      <c r="C29" s="60"/>
      <c r="D29" s="131"/>
      <c r="E29" s="51"/>
      <c r="F29" s="89"/>
    </row>
    <row r="30" spans="1:6" ht="15" customHeight="1" x14ac:dyDescent="0.3">
      <c r="A30" s="54"/>
      <c r="B30" s="687"/>
      <c r="C30" s="60"/>
      <c r="D30" s="131"/>
      <c r="E30" s="51"/>
      <c r="F30" s="89"/>
    </row>
    <row r="31" spans="1:6" ht="15" customHeight="1" x14ac:dyDescent="0.3">
      <c r="A31" s="147" t="s">
        <v>4</v>
      </c>
      <c r="B31" s="175" t="s">
        <v>113</v>
      </c>
      <c r="C31" s="176"/>
      <c r="D31" s="177"/>
      <c r="E31" s="178"/>
      <c r="F31" s="101"/>
    </row>
    <row r="32" spans="1:6" ht="15" customHeight="1" x14ac:dyDescent="0.3">
      <c r="A32" s="147" t="s">
        <v>5</v>
      </c>
      <c r="B32" s="179" t="s">
        <v>114</v>
      </c>
      <c r="C32" s="163" t="s">
        <v>137</v>
      </c>
      <c r="D32" s="180">
        <f>49.66*0.05*0.6</f>
        <v>1.4898</v>
      </c>
      <c r="E32" s="181"/>
      <c r="F32" s="106"/>
    </row>
    <row r="33" spans="1:6" ht="15" customHeight="1" x14ac:dyDescent="0.3">
      <c r="A33" s="147" t="s">
        <v>9</v>
      </c>
      <c r="B33" s="179" t="s">
        <v>121</v>
      </c>
      <c r="C33" s="163"/>
      <c r="D33" s="182"/>
      <c r="E33" s="181"/>
      <c r="F33" s="106"/>
    </row>
    <row r="34" spans="1:6" ht="15" customHeight="1" x14ac:dyDescent="0.3">
      <c r="A34" s="148" t="s">
        <v>115</v>
      </c>
      <c r="B34" s="183" t="s">
        <v>138</v>
      </c>
      <c r="C34" s="163" t="s">
        <v>137</v>
      </c>
      <c r="D34" s="180">
        <f>49.66*0.25*0.6</f>
        <v>7.448999999999999</v>
      </c>
      <c r="E34" s="181"/>
      <c r="F34" s="106"/>
    </row>
    <row r="35" spans="1:6" ht="15" customHeight="1" x14ac:dyDescent="0.3">
      <c r="A35" s="148" t="s">
        <v>116</v>
      </c>
      <c r="B35" s="183" t="s">
        <v>657</v>
      </c>
      <c r="C35" s="163" t="s">
        <v>117</v>
      </c>
      <c r="D35" s="180">
        <f>4*49.66*0.394+249*0.76*0.222</f>
        <v>120.27544</v>
      </c>
      <c r="E35" s="181"/>
      <c r="F35" s="106"/>
    </row>
    <row r="36" spans="1:6" ht="15" customHeight="1" x14ac:dyDescent="0.3">
      <c r="A36" s="147" t="s">
        <v>120</v>
      </c>
      <c r="B36" s="179" t="s">
        <v>416</v>
      </c>
      <c r="C36" s="163"/>
      <c r="D36" s="180"/>
      <c r="E36" s="181"/>
      <c r="F36" s="106"/>
    </row>
    <row r="37" spans="1:6" ht="15" customHeight="1" x14ac:dyDescent="0.3">
      <c r="A37" s="148" t="s">
        <v>122</v>
      </c>
      <c r="B37" s="183" t="s">
        <v>138</v>
      </c>
      <c r="C37" s="163" t="s">
        <v>137</v>
      </c>
      <c r="D37" s="180">
        <f>0.8*(12*0.15*0.15+3*0.3*0.15+0.25*0.15+0.3*0.15+0.15*0.15)</f>
        <v>0.40799999999999992</v>
      </c>
      <c r="E37" s="181"/>
      <c r="F37" s="106"/>
    </row>
    <row r="38" spans="1:6" ht="15" customHeight="1" x14ac:dyDescent="0.3">
      <c r="A38" s="148" t="s">
        <v>123</v>
      </c>
      <c r="B38" s="183" t="s">
        <v>657</v>
      </c>
      <c r="C38" s="163" t="s">
        <v>117</v>
      </c>
      <c r="D38" s="184">
        <f>0.8*(12*4*0.616+3*(4*0.616+2*0.394)+4*0.616+2*0.394+6*0.616+2*0.394)</f>
        <v>37.647999999999989</v>
      </c>
      <c r="E38" s="181"/>
      <c r="F38" s="106"/>
    </row>
    <row r="39" spans="1:6" ht="15" customHeight="1" x14ac:dyDescent="0.3">
      <c r="A39" s="148" t="s">
        <v>124</v>
      </c>
      <c r="B39" s="183" t="s">
        <v>118</v>
      </c>
      <c r="C39" s="163" t="s">
        <v>119</v>
      </c>
      <c r="D39" s="180">
        <f>0.8*(23*0.15+3*0.3+2*0.25)*1.1</f>
        <v>4.2679999999999998</v>
      </c>
      <c r="E39" s="181"/>
      <c r="F39" s="106"/>
    </row>
    <row r="40" spans="1:6" ht="15" customHeight="1" x14ac:dyDescent="0.3">
      <c r="A40" s="147" t="s">
        <v>125</v>
      </c>
      <c r="B40" s="179" t="s">
        <v>133</v>
      </c>
      <c r="C40" s="185"/>
      <c r="D40" s="185"/>
      <c r="E40" s="185"/>
      <c r="F40" s="106"/>
    </row>
    <row r="41" spans="1:6" ht="15" customHeight="1" x14ac:dyDescent="0.3">
      <c r="A41" s="148" t="s">
        <v>126</v>
      </c>
      <c r="B41" s="183" t="s">
        <v>139</v>
      </c>
      <c r="C41" s="163" t="s">
        <v>131</v>
      </c>
      <c r="D41" s="180">
        <f>49.66*0.6*1.1</f>
        <v>32.775599999999997</v>
      </c>
      <c r="E41" s="181"/>
      <c r="F41" s="106"/>
    </row>
    <row r="42" spans="1:6" ht="15" customHeight="1" x14ac:dyDescent="0.3">
      <c r="A42" s="147" t="s">
        <v>127</v>
      </c>
      <c r="B42" s="179" t="s">
        <v>140</v>
      </c>
      <c r="C42" s="163"/>
      <c r="D42" s="180"/>
      <c r="E42" s="181"/>
      <c r="F42" s="106"/>
    </row>
    <row r="43" spans="1:6" ht="15" customHeight="1" x14ac:dyDescent="0.3">
      <c r="A43" s="148" t="s">
        <v>128</v>
      </c>
      <c r="B43" s="183" t="s">
        <v>141</v>
      </c>
      <c r="C43" s="163" t="s">
        <v>131</v>
      </c>
      <c r="D43" s="180">
        <v>57.08</v>
      </c>
      <c r="E43" s="181"/>
      <c r="F43" s="106"/>
    </row>
    <row r="44" spans="1:6" ht="15" customHeight="1" x14ac:dyDescent="0.3">
      <c r="A44" s="148" t="s">
        <v>129</v>
      </c>
      <c r="B44" s="183" t="s">
        <v>135</v>
      </c>
      <c r="C44" s="163" t="s">
        <v>131</v>
      </c>
      <c r="D44" s="180">
        <f>+D43</f>
        <v>57.08</v>
      </c>
      <c r="E44" s="181"/>
      <c r="F44" s="106"/>
    </row>
    <row r="45" spans="1:6" ht="15" customHeight="1" x14ac:dyDescent="0.3">
      <c r="A45" s="148" t="s">
        <v>130</v>
      </c>
      <c r="B45" s="183" t="s">
        <v>118</v>
      </c>
      <c r="C45" s="163" t="s">
        <v>131</v>
      </c>
      <c r="D45" s="180">
        <f>49.66*0.2</f>
        <v>9.9320000000000004</v>
      </c>
      <c r="E45" s="181"/>
      <c r="F45" s="106"/>
    </row>
    <row r="46" spans="1:6" ht="15" customHeight="1" x14ac:dyDescent="0.3">
      <c r="A46" s="147" t="s">
        <v>132</v>
      </c>
      <c r="B46" s="179" t="s">
        <v>179</v>
      </c>
      <c r="C46" s="163"/>
      <c r="D46" s="180"/>
      <c r="E46" s="181"/>
      <c r="F46" s="106"/>
    </row>
    <row r="47" spans="1:6" ht="15" customHeight="1" x14ac:dyDescent="0.3">
      <c r="A47" s="148" t="s">
        <v>134</v>
      </c>
      <c r="B47" s="183" t="s">
        <v>180</v>
      </c>
      <c r="C47" s="163" t="s">
        <v>131</v>
      </c>
      <c r="D47" s="180">
        <f>57.08-(2.5+2.5)</f>
        <v>52.08</v>
      </c>
      <c r="E47" s="181"/>
      <c r="F47" s="106"/>
    </row>
    <row r="48" spans="1:6" ht="15" customHeight="1" x14ac:dyDescent="0.3">
      <c r="A48" s="148" t="s">
        <v>660</v>
      </c>
      <c r="B48" s="183" t="s">
        <v>662</v>
      </c>
      <c r="C48" s="163" t="s">
        <v>131</v>
      </c>
      <c r="D48" s="180">
        <f>2.5*2</f>
        <v>5</v>
      </c>
      <c r="E48" s="181"/>
      <c r="F48" s="106"/>
    </row>
    <row r="49" spans="1:6" ht="15" customHeight="1" thickBot="1" x14ac:dyDescent="0.35">
      <c r="A49" s="188"/>
      <c r="B49" s="103"/>
      <c r="C49" s="189"/>
      <c r="D49" s="190"/>
      <c r="E49" s="181"/>
      <c r="F49" s="102"/>
    </row>
    <row r="50" spans="1:6" ht="15" customHeight="1" thickBot="1" x14ac:dyDescent="0.35">
      <c r="A50" s="821" t="s">
        <v>146</v>
      </c>
      <c r="B50" s="822"/>
      <c r="C50" s="822"/>
      <c r="D50" s="822"/>
      <c r="E50" s="823"/>
      <c r="F50" s="609"/>
    </row>
    <row r="51" spans="1:6" ht="15" customHeight="1" x14ac:dyDescent="0.3">
      <c r="A51" s="54"/>
      <c r="B51" s="687"/>
      <c r="C51" s="60"/>
      <c r="D51" s="131"/>
      <c r="E51" s="51"/>
      <c r="F51" s="89"/>
    </row>
    <row r="52" spans="1:6" ht="15" customHeight="1" x14ac:dyDescent="0.3">
      <c r="A52" s="147" t="s">
        <v>10</v>
      </c>
      <c r="B52" s="175" t="s">
        <v>167</v>
      </c>
      <c r="C52" s="176"/>
      <c r="D52" s="191"/>
      <c r="E52" s="192"/>
      <c r="F52" s="104"/>
    </row>
    <row r="53" spans="1:6" ht="15" customHeight="1" x14ac:dyDescent="0.3">
      <c r="A53" s="147" t="s">
        <v>11</v>
      </c>
      <c r="B53" s="179" t="s">
        <v>168</v>
      </c>
      <c r="C53" s="176"/>
      <c r="D53" s="191"/>
      <c r="E53" s="192"/>
      <c r="F53" s="104"/>
    </row>
    <row r="54" spans="1:6" ht="15" customHeight="1" x14ac:dyDescent="0.3">
      <c r="A54" s="148" t="s">
        <v>147</v>
      </c>
      <c r="B54" s="183" t="s">
        <v>138</v>
      </c>
      <c r="C54" s="163" t="s">
        <v>137</v>
      </c>
      <c r="D54" s="182">
        <f>3*0.3*0.15*3+3*(0.15*0.15+0.15*0.1)*3.38+(0.25*0.15+3*0.15*0.15)*4.11+(3*0.15*0.15+0.3*0.15)*3.9+3*(4*0.15*0.15+2*0.15*0.1)+(3.74+4.11+3.6+3.32+3.61+3.9+3.52*2)*0.15*0.1</f>
        <v>2.4553499999999997</v>
      </c>
      <c r="E54" s="187"/>
      <c r="F54" s="105"/>
    </row>
    <row r="55" spans="1:6" ht="15" customHeight="1" x14ac:dyDescent="0.3">
      <c r="A55" s="148" t="s">
        <v>148</v>
      </c>
      <c r="B55" s="183" t="s">
        <v>658</v>
      </c>
      <c r="C55" s="163" t="s">
        <v>84</v>
      </c>
      <c r="D55" s="193">
        <v>248.49</v>
      </c>
      <c r="E55" s="187"/>
      <c r="F55" s="105"/>
    </row>
    <row r="56" spans="1:6" ht="15" customHeight="1" x14ac:dyDescent="0.3">
      <c r="A56" s="148" t="s">
        <v>149</v>
      </c>
      <c r="B56" s="183" t="s">
        <v>118</v>
      </c>
      <c r="C56" s="163" t="s">
        <v>131</v>
      </c>
      <c r="D56" s="182">
        <v>25.62</v>
      </c>
      <c r="E56" s="187"/>
      <c r="F56" s="105"/>
    </row>
    <row r="57" spans="1:6" ht="15" customHeight="1" x14ac:dyDescent="0.3">
      <c r="A57" s="147" t="s">
        <v>12</v>
      </c>
      <c r="B57" s="179" t="s">
        <v>169</v>
      </c>
      <c r="C57" s="163"/>
      <c r="D57" s="182"/>
      <c r="E57" s="187"/>
      <c r="F57" s="105"/>
    </row>
    <row r="58" spans="1:6" ht="15" customHeight="1" x14ac:dyDescent="0.3">
      <c r="A58" s="148" t="s">
        <v>150</v>
      </c>
      <c r="B58" s="183" t="s">
        <v>138</v>
      </c>
      <c r="C58" s="163" t="s">
        <v>137</v>
      </c>
      <c r="D58" s="182">
        <f>49.66*0.2*0.15+5.36*0.2*0.1</f>
        <v>1.597</v>
      </c>
      <c r="E58" s="187"/>
      <c r="F58" s="105"/>
    </row>
    <row r="59" spans="1:6" ht="15" customHeight="1" x14ac:dyDescent="0.3">
      <c r="A59" s="148" t="s">
        <v>151</v>
      </c>
      <c r="B59" s="183" t="s">
        <v>658</v>
      </c>
      <c r="C59" s="163" t="s">
        <v>84</v>
      </c>
      <c r="D59" s="193">
        <v>115.51</v>
      </c>
      <c r="E59" s="187"/>
      <c r="F59" s="105"/>
    </row>
    <row r="60" spans="1:6" ht="15" customHeight="1" x14ac:dyDescent="0.3">
      <c r="A60" s="148" t="s">
        <v>152</v>
      </c>
      <c r="B60" s="183" t="s">
        <v>118</v>
      </c>
      <c r="C60" s="163" t="s">
        <v>131</v>
      </c>
      <c r="D60" s="182">
        <f>+(49.66+5.36)*2*0.2*1.1</f>
        <v>24.2088</v>
      </c>
      <c r="E60" s="187"/>
      <c r="F60" s="105"/>
    </row>
    <row r="61" spans="1:6" ht="15" customHeight="1" x14ac:dyDescent="0.3">
      <c r="A61" s="147" t="s">
        <v>13</v>
      </c>
      <c r="B61" s="179" t="s">
        <v>663</v>
      </c>
      <c r="C61" s="163"/>
      <c r="D61" s="182"/>
      <c r="E61" s="187"/>
      <c r="F61" s="105"/>
    </row>
    <row r="62" spans="1:6" ht="15" customHeight="1" x14ac:dyDescent="0.3">
      <c r="A62" s="148" t="s">
        <v>153</v>
      </c>
      <c r="B62" s="194" t="s">
        <v>138</v>
      </c>
      <c r="C62" s="163" t="s">
        <v>137</v>
      </c>
      <c r="D62" s="182">
        <f>1.68*0.4</f>
        <v>0.67200000000000004</v>
      </c>
      <c r="E62" s="187"/>
      <c r="F62" s="105"/>
    </row>
    <row r="63" spans="1:6" ht="15" customHeight="1" x14ac:dyDescent="0.3">
      <c r="A63" s="148" t="s">
        <v>154</v>
      </c>
      <c r="B63" s="194" t="s">
        <v>658</v>
      </c>
      <c r="C63" s="163" t="s">
        <v>84</v>
      </c>
      <c r="D63" s="193">
        <f>+D62*60</f>
        <v>40.32</v>
      </c>
      <c r="E63" s="187"/>
      <c r="F63" s="105"/>
    </row>
    <row r="64" spans="1:6" ht="15" customHeight="1" x14ac:dyDescent="0.3">
      <c r="A64" s="148" t="s">
        <v>155</v>
      </c>
      <c r="B64" s="194" t="s">
        <v>118</v>
      </c>
      <c r="C64" s="163" t="s">
        <v>131</v>
      </c>
      <c r="D64" s="182">
        <f>0.15*0.35*2+1.68*0.15</f>
        <v>0.35699999999999998</v>
      </c>
      <c r="E64" s="187"/>
      <c r="F64" s="105"/>
    </row>
    <row r="65" spans="1:6" ht="15" customHeight="1" x14ac:dyDescent="0.3">
      <c r="A65" s="147" t="s">
        <v>156</v>
      </c>
      <c r="B65" s="179" t="s">
        <v>164</v>
      </c>
      <c r="C65" s="163"/>
      <c r="D65" s="182"/>
      <c r="E65" s="187"/>
      <c r="F65" s="105"/>
    </row>
    <row r="66" spans="1:6" ht="15" customHeight="1" x14ac:dyDescent="0.3">
      <c r="A66" s="148" t="s">
        <v>157</v>
      </c>
      <c r="B66" s="183" t="s">
        <v>165</v>
      </c>
      <c r="C66" s="163" t="s">
        <v>131</v>
      </c>
      <c r="D66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6" s="195"/>
      <c r="F66" s="105"/>
    </row>
    <row r="67" spans="1:6" ht="15" customHeight="1" x14ac:dyDescent="0.3">
      <c r="A67" s="148" t="s">
        <v>158</v>
      </c>
      <c r="B67" s="183" t="s">
        <v>166</v>
      </c>
      <c r="C67" s="163" t="s">
        <v>131</v>
      </c>
      <c r="D67" s="180">
        <f>+(2.13+0.73+2.4)*3-(2*0.7*2.2)</f>
        <v>12.7</v>
      </c>
      <c r="E67" s="181"/>
      <c r="F67" s="105"/>
    </row>
    <row r="68" spans="1:6" ht="15" customHeight="1" x14ac:dyDescent="0.3">
      <c r="A68" s="147" t="s">
        <v>159</v>
      </c>
      <c r="B68" s="179" t="s">
        <v>173</v>
      </c>
      <c r="C68" s="163"/>
      <c r="D68" s="180"/>
      <c r="E68" s="181"/>
      <c r="F68" s="105"/>
    </row>
    <row r="69" spans="1:6" ht="15" customHeight="1" x14ac:dyDescent="0.3">
      <c r="A69" s="148" t="s">
        <v>160</v>
      </c>
      <c r="B69" s="183" t="s">
        <v>673</v>
      </c>
      <c r="C69" s="163" t="s">
        <v>131</v>
      </c>
      <c r="D69" s="180">
        <f>+((36.87-(2*1.44+0.95+3.31))+(17.19-0.36)+(36.87-(2*1.44+3.31+0.36))+2*(17.19-2*6.8))+17.19-(0.9*2.2+1.44)</f>
        <v>97.83</v>
      </c>
      <c r="E69" s="181"/>
      <c r="F69" s="105"/>
    </row>
    <row r="70" spans="1:6" ht="15" customHeight="1" x14ac:dyDescent="0.3">
      <c r="A70" s="148" t="s">
        <v>161</v>
      </c>
      <c r="B70" s="183" t="s">
        <v>174</v>
      </c>
      <c r="C70" s="163" t="s">
        <v>131</v>
      </c>
      <c r="D70" s="180">
        <f>97.83-2*(17.19-(2*6.8))+2*((13.03-1.98)+(3.72*4.15)+(20.31-1.98))</f>
        <v>180.286</v>
      </c>
      <c r="E70" s="181"/>
      <c r="F70" s="105"/>
    </row>
    <row r="71" spans="1:6" ht="24.9" customHeight="1" x14ac:dyDescent="0.3">
      <c r="A71" s="483" t="s">
        <v>170</v>
      </c>
      <c r="B71" s="183" t="s">
        <v>703</v>
      </c>
      <c r="C71" s="482" t="s">
        <v>131</v>
      </c>
      <c r="D71" s="484">
        <f>2*(6.4*3-1.76)</f>
        <v>34.880000000000003</v>
      </c>
      <c r="E71" s="485"/>
      <c r="F71" s="724"/>
    </row>
    <row r="72" spans="1:6" ht="15" customHeight="1" x14ac:dyDescent="0.3">
      <c r="A72" s="147" t="s">
        <v>162</v>
      </c>
      <c r="B72" s="179" t="s">
        <v>171</v>
      </c>
      <c r="C72" s="163"/>
      <c r="D72" s="180"/>
      <c r="E72" s="181"/>
      <c r="F72" s="105"/>
    </row>
    <row r="73" spans="1:6" ht="15" customHeight="1" x14ac:dyDescent="0.3">
      <c r="A73" s="148" t="s">
        <v>163</v>
      </c>
      <c r="B73" s="183" t="s">
        <v>172</v>
      </c>
      <c r="C73" s="163" t="s">
        <v>131</v>
      </c>
      <c r="D73" s="180">
        <v>1.2</v>
      </c>
      <c r="E73" s="181"/>
      <c r="F73" s="105"/>
    </row>
    <row r="74" spans="1:6" ht="15" customHeight="1" thickBot="1" x14ac:dyDescent="0.35">
      <c r="A74" s="196"/>
      <c r="B74" s="197"/>
      <c r="C74" s="198"/>
      <c r="D74" s="199"/>
      <c r="E74" s="200"/>
      <c r="F74" s="107"/>
    </row>
    <row r="75" spans="1:6" ht="15" customHeight="1" thickBot="1" x14ac:dyDescent="0.35">
      <c r="A75" s="821" t="s">
        <v>175</v>
      </c>
      <c r="B75" s="822"/>
      <c r="C75" s="822"/>
      <c r="D75" s="822"/>
      <c r="E75" s="823"/>
      <c r="F75" s="609"/>
    </row>
    <row r="76" spans="1:6" ht="15" customHeight="1" thickBot="1" x14ac:dyDescent="0.35">
      <c r="A76" s="688"/>
      <c r="B76" s="689"/>
      <c r="C76" s="690"/>
      <c r="D76" s="691"/>
      <c r="E76" s="692"/>
      <c r="F76" s="693"/>
    </row>
    <row r="77" spans="1:6" ht="15" customHeight="1" thickBot="1" x14ac:dyDescent="0.35">
      <c r="A77" s="821" t="s">
        <v>191</v>
      </c>
      <c r="B77" s="822"/>
      <c r="C77" s="822"/>
      <c r="D77" s="822"/>
      <c r="E77" s="823"/>
      <c r="F77" s="586"/>
    </row>
    <row r="78" spans="1:6" ht="15" customHeight="1" x14ac:dyDescent="0.3">
      <c r="A78" s="694"/>
      <c r="B78" s="695"/>
      <c r="C78" s="696"/>
      <c r="D78" s="697"/>
      <c r="E78" s="698"/>
      <c r="F78" s="699"/>
    </row>
    <row r="79" spans="1:6" ht="15" customHeight="1" x14ac:dyDescent="0.3">
      <c r="A79" s="58" t="s">
        <v>176</v>
      </c>
      <c r="B79" s="99" t="s">
        <v>177</v>
      </c>
      <c r="C79" s="60"/>
      <c r="D79" s="131"/>
      <c r="E79" s="51"/>
      <c r="F79" s="89"/>
    </row>
    <row r="80" spans="1:6" ht="15" customHeight="1" x14ac:dyDescent="0.3">
      <c r="A80" s="54"/>
      <c r="B80" s="167"/>
      <c r="C80" s="60"/>
      <c r="D80" s="131"/>
      <c r="E80" s="51"/>
      <c r="F80" s="89"/>
    </row>
    <row r="81" spans="1:6" ht="15" customHeight="1" x14ac:dyDescent="0.3">
      <c r="A81" s="54" t="s">
        <v>53</v>
      </c>
      <c r="B81" s="111" t="s">
        <v>732</v>
      </c>
      <c r="C81" s="60"/>
      <c r="D81" s="131"/>
      <c r="E81" s="80"/>
      <c r="F81" s="112"/>
    </row>
    <row r="82" spans="1:6" ht="24.9" customHeight="1" x14ac:dyDescent="0.3">
      <c r="A82" s="61" t="s">
        <v>82</v>
      </c>
      <c r="B82" s="69" t="s">
        <v>181</v>
      </c>
      <c r="C82" s="163" t="s">
        <v>131</v>
      </c>
      <c r="D82" s="70">
        <f>2*2.4</f>
        <v>4.8</v>
      </c>
      <c r="E82" s="393"/>
      <c r="F82" s="588"/>
    </row>
    <row r="83" spans="1:6" ht="15" customHeight="1" x14ac:dyDescent="0.3">
      <c r="A83" s="61" t="s">
        <v>178</v>
      </c>
      <c r="B83" s="113" t="s">
        <v>717</v>
      </c>
      <c r="C83" s="60" t="s">
        <v>15</v>
      </c>
      <c r="D83" s="131">
        <f>2*(6.4-0.8)</f>
        <v>11.200000000000001</v>
      </c>
      <c r="E83" s="393"/>
      <c r="F83" s="588"/>
    </row>
    <row r="84" spans="1:6" ht="15" customHeight="1" thickBot="1" x14ac:dyDescent="0.35">
      <c r="A84" s="76"/>
      <c r="B84" s="114"/>
      <c r="C84" s="63"/>
      <c r="D84" s="206"/>
      <c r="E84" s="207"/>
      <c r="F84" s="115"/>
    </row>
    <row r="85" spans="1:6" ht="15" customHeight="1" thickBot="1" x14ac:dyDescent="0.35">
      <c r="A85" s="821" t="s">
        <v>192</v>
      </c>
      <c r="B85" s="822"/>
      <c r="C85" s="822"/>
      <c r="D85" s="822"/>
      <c r="E85" s="823"/>
      <c r="F85" s="589"/>
    </row>
    <row r="86" spans="1:6" ht="15" customHeight="1" x14ac:dyDescent="0.3">
      <c r="A86" s="116"/>
      <c r="B86" s="117"/>
      <c r="C86" s="117"/>
      <c r="D86" s="117"/>
      <c r="E86" s="117"/>
      <c r="F86" s="118"/>
    </row>
    <row r="87" spans="1:6" ht="15" customHeight="1" x14ac:dyDescent="0.3">
      <c r="A87" s="58" t="s">
        <v>182</v>
      </c>
      <c r="B87" s="99" t="s">
        <v>656</v>
      </c>
      <c r="C87" s="60"/>
      <c r="D87" s="131"/>
      <c r="E87" s="615"/>
      <c r="F87" s="614"/>
    </row>
    <row r="88" spans="1:6" ht="15" customHeight="1" x14ac:dyDescent="0.3">
      <c r="A88" s="54"/>
      <c r="B88" s="167"/>
      <c r="C88" s="60"/>
      <c r="D88" s="131"/>
      <c r="E88" s="51"/>
      <c r="F88" s="89"/>
    </row>
    <row r="89" spans="1:6" ht="15" customHeight="1" x14ac:dyDescent="0.3">
      <c r="A89" s="64" t="s">
        <v>186</v>
      </c>
      <c r="B89" s="111" t="s">
        <v>188</v>
      </c>
      <c r="C89" s="60"/>
      <c r="D89" s="131"/>
      <c r="E89" s="80"/>
      <c r="F89" s="119"/>
    </row>
    <row r="90" spans="1:6" ht="15" customHeight="1" x14ac:dyDescent="0.3">
      <c r="A90" s="65" t="s">
        <v>187</v>
      </c>
      <c r="B90" s="69" t="s">
        <v>675</v>
      </c>
      <c r="C90" s="60" t="s">
        <v>15</v>
      </c>
      <c r="D90" s="131">
        <f>14*1*5+14*0.8+0.6*2*4</f>
        <v>86</v>
      </c>
      <c r="E90" s="393"/>
      <c r="F90" s="591"/>
    </row>
    <row r="91" spans="1:6" ht="15" customHeight="1" thickBot="1" x14ac:dyDescent="0.35">
      <c r="A91" s="700"/>
      <c r="B91" s="114"/>
      <c r="C91" s="63"/>
      <c r="D91" s="206"/>
      <c r="E91" s="207"/>
      <c r="F91" s="115"/>
    </row>
    <row r="92" spans="1:6" ht="15" customHeight="1" thickBot="1" x14ac:dyDescent="0.35">
      <c r="A92" s="821" t="s">
        <v>194</v>
      </c>
      <c r="B92" s="822"/>
      <c r="C92" s="822"/>
      <c r="D92" s="822"/>
      <c r="E92" s="823"/>
      <c r="F92" s="589"/>
    </row>
    <row r="93" spans="1:6" ht="15" customHeight="1" x14ac:dyDescent="0.3">
      <c r="A93" s="701"/>
      <c r="B93" s="397"/>
      <c r="C93" s="397"/>
      <c r="D93" s="397"/>
      <c r="E93" s="397"/>
      <c r="F93" s="702"/>
    </row>
    <row r="94" spans="1:6" ht="15" customHeight="1" x14ac:dyDescent="0.3">
      <c r="A94" s="58" t="s">
        <v>183</v>
      </c>
      <c r="B94" s="99" t="s">
        <v>184</v>
      </c>
      <c r="C94" s="60"/>
      <c r="D94" s="131"/>
      <c r="E94" s="51"/>
      <c r="F94" s="89"/>
    </row>
    <row r="95" spans="1:6" ht="15" customHeight="1" x14ac:dyDescent="0.3">
      <c r="A95" s="54"/>
      <c r="B95" s="167"/>
      <c r="C95" s="60"/>
      <c r="D95" s="131"/>
      <c r="E95" s="51"/>
      <c r="F95" s="89"/>
    </row>
    <row r="96" spans="1:6" ht="15" customHeight="1" x14ac:dyDescent="0.3">
      <c r="A96" s="64" t="s">
        <v>16</v>
      </c>
      <c r="B96" s="111" t="s">
        <v>185</v>
      </c>
      <c r="C96" s="60"/>
      <c r="D96" s="131"/>
      <c r="E96" s="80"/>
      <c r="F96" s="112"/>
    </row>
    <row r="97" spans="1:6" ht="15" customHeight="1" x14ac:dyDescent="0.3">
      <c r="A97" s="65" t="s">
        <v>17</v>
      </c>
      <c r="B97" s="69" t="s">
        <v>419</v>
      </c>
      <c r="C97" s="163" t="s">
        <v>131</v>
      </c>
      <c r="D97" s="131">
        <f>5*1.4*1.4</f>
        <v>9.7999999999999989</v>
      </c>
      <c r="E97" s="393"/>
      <c r="F97" s="591"/>
    </row>
    <row r="98" spans="1:6" ht="15" customHeight="1" x14ac:dyDescent="0.3">
      <c r="A98" s="65" t="s">
        <v>19</v>
      </c>
      <c r="B98" s="69" t="s">
        <v>420</v>
      </c>
      <c r="C98" s="163" t="s">
        <v>131</v>
      </c>
      <c r="D98" s="131">
        <f>1.2*1.4</f>
        <v>1.68</v>
      </c>
      <c r="E98" s="393"/>
      <c r="F98" s="591"/>
    </row>
    <row r="99" spans="1:6" ht="15" customHeight="1" x14ac:dyDescent="0.3">
      <c r="A99" s="65" t="s">
        <v>365</v>
      </c>
      <c r="B99" s="69" t="s">
        <v>421</v>
      </c>
      <c r="C99" s="163" t="s">
        <v>131</v>
      </c>
      <c r="D99" s="131">
        <f>0.8*0.8*2</f>
        <v>1.2800000000000002</v>
      </c>
      <c r="E99" s="393"/>
      <c r="F99" s="591"/>
    </row>
    <row r="100" spans="1:6" ht="15" customHeight="1" thickBot="1" x14ac:dyDescent="0.35">
      <c r="A100" s="77"/>
      <c r="B100" s="114"/>
      <c r="C100" s="63"/>
      <c r="D100" s="206"/>
      <c r="E100" s="207"/>
      <c r="F100" s="121"/>
    </row>
    <row r="101" spans="1:6" ht="15" customHeight="1" thickBot="1" x14ac:dyDescent="0.35">
      <c r="A101" s="821" t="s">
        <v>193</v>
      </c>
      <c r="B101" s="822"/>
      <c r="C101" s="822"/>
      <c r="D101" s="822"/>
      <c r="E101" s="823"/>
      <c r="F101" s="589"/>
    </row>
    <row r="102" spans="1:6" ht="15" customHeight="1" x14ac:dyDescent="0.3">
      <c r="A102" s="703"/>
      <c r="B102" s="704"/>
      <c r="C102" s="705"/>
      <c r="D102" s="706"/>
      <c r="E102" s="707"/>
      <c r="F102" s="693"/>
    </row>
    <row r="103" spans="1:6" ht="15" customHeight="1" x14ac:dyDescent="0.3">
      <c r="A103" s="58" t="s">
        <v>195</v>
      </c>
      <c r="B103" s="99" t="s">
        <v>196</v>
      </c>
      <c r="C103" s="60"/>
      <c r="D103" s="131"/>
      <c r="E103" s="51"/>
      <c r="F103" s="89"/>
    </row>
    <row r="104" spans="1:6" ht="15" customHeight="1" x14ac:dyDescent="0.3">
      <c r="A104" s="54"/>
      <c r="B104" s="123"/>
      <c r="C104" s="60"/>
      <c r="D104" s="131"/>
      <c r="E104" s="80"/>
      <c r="F104" s="112"/>
    </row>
    <row r="105" spans="1:6" ht="15" customHeight="1" x14ac:dyDescent="0.3">
      <c r="A105" s="64" t="s">
        <v>20</v>
      </c>
      <c r="B105" s="123" t="s">
        <v>76</v>
      </c>
      <c r="C105" s="60"/>
      <c r="D105" s="131"/>
      <c r="E105" s="80"/>
      <c r="F105" s="119"/>
    </row>
    <row r="106" spans="1:6" ht="15" customHeight="1" x14ac:dyDescent="0.3">
      <c r="A106" s="64" t="s">
        <v>21</v>
      </c>
      <c r="B106" s="124" t="s">
        <v>199</v>
      </c>
      <c r="C106" s="60"/>
      <c r="D106" s="131"/>
      <c r="E106" s="80"/>
      <c r="F106" s="119"/>
    </row>
    <row r="107" spans="1:6" ht="15" customHeight="1" x14ac:dyDescent="0.3">
      <c r="A107" s="65" t="s">
        <v>201</v>
      </c>
      <c r="B107" s="125" t="s">
        <v>197</v>
      </c>
      <c r="C107" s="60" t="s">
        <v>15</v>
      </c>
      <c r="D107" s="131">
        <v>20.74</v>
      </c>
      <c r="E107" s="393"/>
      <c r="F107" s="591"/>
    </row>
    <row r="108" spans="1:6" ht="24.9" customHeight="1" x14ac:dyDescent="0.3">
      <c r="A108" s="66" t="s">
        <v>202</v>
      </c>
      <c r="B108" s="69" t="s">
        <v>240</v>
      </c>
      <c r="C108" s="62" t="s">
        <v>15</v>
      </c>
      <c r="D108" s="70">
        <f>+D107</f>
        <v>20.74</v>
      </c>
      <c r="E108" s="383"/>
      <c r="F108" s="591"/>
    </row>
    <row r="109" spans="1:6" ht="15" customHeight="1" x14ac:dyDescent="0.3">
      <c r="A109" s="64" t="s">
        <v>203</v>
      </c>
      <c r="B109" s="124" t="s">
        <v>200</v>
      </c>
      <c r="C109" s="60"/>
      <c r="D109" s="131"/>
      <c r="E109" s="80"/>
      <c r="F109" s="591"/>
    </row>
    <row r="110" spans="1:6" ht="24.9" customHeight="1" x14ac:dyDescent="0.3">
      <c r="A110" s="66" t="s">
        <v>204</v>
      </c>
      <c r="B110" s="69" t="s">
        <v>238</v>
      </c>
      <c r="C110" s="62" t="s">
        <v>15</v>
      </c>
      <c r="D110" s="70">
        <f>+(0.33+1.84+0.8*2+1.5+0.41)*1.1</f>
        <v>6.2480000000000002</v>
      </c>
      <c r="E110" s="383"/>
      <c r="F110" s="591"/>
    </row>
    <row r="111" spans="1:6" ht="15" customHeight="1" x14ac:dyDescent="0.3">
      <c r="A111" s="64" t="s">
        <v>22</v>
      </c>
      <c r="B111" s="123" t="s">
        <v>198</v>
      </c>
      <c r="C111" s="60"/>
      <c r="D111" s="131"/>
      <c r="E111" s="393"/>
      <c r="F111" s="591"/>
    </row>
    <row r="112" spans="1:6" ht="15" customHeight="1" x14ac:dyDescent="0.3">
      <c r="A112" s="64" t="s">
        <v>77</v>
      </c>
      <c r="B112" s="124" t="s">
        <v>205</v>
      </c>
      <c r="C112" s="60"/>
      <c r="D112" s="131"/>
      <c r="E112" s="393"/>
      <c r="F112" s="591"/>
    </row>
    <row r="113" spans="1:6" ht="15" customHeight="1" x14ac:dyDescent="0.3">
      <c r="A113" s="65" t="s">
        <v>208</v>
      </c>
      <c r="B113" s="125" t="s">
        <v>206</v>
      </c>
      <c r="C113" s="60" t="s">
        <v>15</v>
      </c>
      <c r="D113" s="131">
        <f>(2*0.8+2.3+1.05)*1.2</f>
        <v>5.94</v>
      </c>
      <c r="E113" s="393"/>
      <c r="F113" s="591"/>
    </row>
    <row r="114" spans="1:6" ht="15" customHeight="1" x14ac:dyDescent="0.3">
      <c r="A114" s="65" t="s">
        <v>209</v>
      </c>
      <c r="B114" s="113" t="s">
        <v>207</v>
      </c>
      <c r="C114" s="60" t="s">
        <v>15</v>
      </c>
      <c r="D114" s="131">
        <f>(1.45+0.9)*1.2</f>
        <v>2.82</v>
      </c>
      <c r="E114" s="393"/>
      <c r="F114" s="591"/>
    </row>
    <row r="115" spans="1:6" s="613" customFormat="1" ht="15" customHeight="1" x14ac:dyDescent="0.3">
      <c r="A115" s="65" t="s">
        <v>728</v>
      </c>
      <c r="B115" s="113" t="s">
        <v>729</v>
      </c>
      <c r="C115" s="60" t="s">
        <v>15</v>
      </c>
      <c r="D115" s="131">
        <v>2</v>
      </c>
      <c r="E115" s="393"/>
      <c r="F115" s="591"/>
    </row>
    <row r="116" spans="1:6" ht="15" customHeight="1" x14ac:dyDescent="0.3">
      <c r="A116" s="64" t="s">
        <v>23</v>
      </c>
      <c r="B116" s="111" t="s">
        <v>210</v>
      </c>
      <c r="C116" s="60"/>
      <c r="D116" s="131"/>
      <c r="E116" s="393"/>
      <c r="F116" s="591"/>
    </row>
    <row r="117" spans="1:6" ht="15" customHeight="1" x14ac:dyDescent="0.3">
      <c r="A117" s="64" t="s">
        <v>78</v>
      </c>
      <c r="B117" s="127" t="s">
        <v>211</v>
      </c>
      <c r="C117" s="60"/>
      <c r="D117" s="131"/>
      <c r="E117" s="393"/>
      <c r="F117" s="591"/>
    </row>
    <row r="118" spans="1:6" ht="15" customHeight="1" x14ac:dyDescent="0.3">
      <c r="A118" s="65" t="s">
        <v>215</v>
      </c>
      <c r="B118" s="113" t="s">
        <v>239</v>
      </c>
      <c r="C118" s="60" t="s">
        <v>18</v>
      </c>
      <c r="D118" s="131">
        <v>2</v>
      </c>
      <c r="E118" s="393"/>
      <c r="F118" s="591"/>
    </row>
    <row r="119" spans="1:6" ht="15" customHeight="1" x14ac:dyDescent="0.3">
      <c r="A119" s="64" t="s">
        <v>216</v>
      </c>
      <c r="B119" s="111" t="s">
        <v>212</v>
      </c>
      <c r="C119" s="60"/>
      <c r="D119" s="131"/>
      <c r="E119" s="80"/>
      <c r="F119" s="591"/>
    </row>
    <row r="120" spans="1:6" ht="15" customHeight="1" x14ac:dyDescent="0.3">
      <c r="A120" s="64" t="s">
        <v>217</v>
      </c>
      <c r="B120" s="127" t="s">
        <v>213</v>
      </c>
      <c r="C120" s="60"/>
      <c r="D120" s="131"/>
      <c r="E120" s="80"/>
      <c r="F120" s="591"/>
    </row>
    <row r="121" spans="1:6" ht="24.9" customHeight="1" x14ac:dyDescent="0.3">
      <c r="A121" s="66" t="s">
        <v>218</v>
      </c>
      <c r="B121" s="69" t="s">
        <v>425</v>
      </c>
      <c r="C121" s="62" t="s">
        <v>18</v>
      </c>
      <c r="D121" s="70">
        <v>2</v>
      </c>
      <c r="E121" s="383"/>
      <c r="F121" s="591"/>
    </row>
    <row r="122" spans="1:6" ht="24.9" customHeight="1" x14ac:dyDescent="0.3">
      <c r="A122" s="66" t="s">
        <v>219</v>
      </c>
      <c r="B122" s="69" t="s">
        <v>724</v>
      </c>
      <c r="C122" s="62" t="s">
        <v>18</v>
      </c>
      <c r="D122" s="70">
        <v>2</v>
      </c>
      <c r="E122" s="383"/>
      <c r="F122" s="591"/>
    </row>
    <row r="123" spans="1:6" ht="15" customHeight="1" x14ac:dyDescent="0.3">
      <c r="A123" s="64" t="s">
        <v>220</v>
      </c>
      <c r="B123" s="127" t="s">
        <v>221</v>
      </c>
      <c r="C123" s="60"/>
      <c r="D123" s="131"/>
      <c r="E123" s="80"/>
      <c r="F123" s="591"/>
    </row>
    <row r="124" spans="1:6" ht="15" customHeight="1" x14ac:dyDescent="0.3">
      <c r="A124" s="65" t="s">
        <v>222</v>
      </c>
      <c r="B124" s="113" t="s">
        <v>705</v>
      </c>
      <c r="C124" s="60" t="s">
        <v>18</v>
      </c>
      <c r="D124" s="131">
        <v>2</v>
      </c>
      <c r="E124" s="393"/>
      <c r="F124" s="591"/>
    </row>
    <row r="125" spans="1:6" ht="15" customHeight="1" x14ac:dyDescent="0.3">
      <c r="A125" s="65" t="s">
        <v>223</v>
      </c>
      <c r="B125" s="81" t="s">
        <v>668</v>
      </c>
      <c r="C125" s="63" t="s">
        <v>18</v>
      </c>
      <c r="D125" s="212">
        <v>2</v>
      </c>
      <c r="E125" s="401"/>
      <c r="F125" s="591"/>
    </row>
    <row r="126" spans="1:6" ht="15" customHeight="1" x14ac:dyDescent="0.3">
      <c r="A126" s="65" t="s">
        <v>224</v>
      </c>
      <c r="B126" s="81" t="s">
        <v>669</v>
      </c>
      <c r="C126" s="63" t="s">
        <v>18</v>
      </c>
      <c r="D126" s="212">
        <v>2</v>
      </c>
      <c r="E126" s="401"/>
      <c r="F126" s="591"/>
    </row>
    <row r="127" spans="1:6" s="613" customFormat="1" ht="15" customHeight="1" x14ac:dyDescent="0.3">
      <c r="A127" s="65" t="s">
        <v>726</v>
      </c>
      <c r="B127" s="81" t="s">
        <v>727</v>
      </c>
      <c r="C127" s="63" t="s">
        <v>18</v>
      </c>
      <c r="D127" s="212">
        <v>2</v>
      </c>
      <c r="E127" s="401"/>
      <c r="F127" s="591"/>
    </row>
    <row r="128" spans="1:6" ht="15" customHeight="1" thickBot="1" x14ac:dyDescent="0.35">
      <c r="A128" s="78"/>
      <c r="B128" s="128"/>
      <c r="C128" s="63"/>
      <c r="D128" s="206"/>
      <c r="E128" s="207"/>
      <c r="F128" s="592"/>
    </row>
    <row r="129" spans="1:6" ht="15" customHeight="1" thickBot="1" x14ac:dyDescent="0.35">
      <c r="A129" s="821" t="s">
        <v>225</v>
      </c>
      <c r="B129" s="822"/>
      <c r="C129" s="822"/>
      <c r="D129" s="822"/>
      <c r="E129" s="823"/>
      <c r="F129" s="589"/>
    </row>
    <row r="130" spans="1:6" ht="15" customHeight="1" x14ac:dyDescent="0.3">
      <c r="A130" s="708"/>
      <c r="B130" s="709"/>
      <c r="C130" s="696"/>
      <c r="D130" s="697"/>
      <c r="E130" s="698"/>
      <c r="F130" s="699"/>
    </row>
    <row r="131" spans="1:6" ht="15" customHeight="1" x14ac:dyDescent="0.3">
      <c r="A131" s="58" t="s">
        <v>226</v>
      </c>
      <c r="B131" s="99" t="s">
        <v>227</v>
      </c>
      <c r="C131" s="60"/>
      <c r="D131" s="131"/>
      <c r="E131" s="51"/>
      <c r="F131" s="89"/>
    </row>
    <row r="132" spans="1:6" ht="15" customHeight="1" x14ac:dyDescent="0.3">
      <c r="A132" s="708"/>
      <c r="B132" s="709"/>
      <c r="C132" s="696"/>
      <c r="D132" s="697"/>
      <c r="E132" s="698"/>
      <c r="F132" s="699"/>
    </row>
    <row r="133" spans="1:6" ht="15" customHeight="1" x14ac:dyDescent="0.3">
      <c r="A133" s="64" t="s">
        <v>44</v>
      </c>
      <c r="B133" s="111" t="s">
        <v>228</v>
      </c>
      <c r="C133" s="60"/>
      <c r="D133" s="131"/>
      <c r="E133" s="80"/>
      <c r="F133" s="119"/>
    </row>
    <row r="134" spans="1:6" ht="15" customHeight="1" x14ac:dyDescent="0.3">
      <c r="A134" s="64" t="s">
        <v>75</v>
      </c>
      <c r="B134" s="127" t="s">
        <v>229</v>
      </c>
      <c r="C134" s="60"/>
      <c r="D134" s="131"/>
      <c r="E134" s="80"/>
      <c r="F134" s="119"/>
    </row>
    <row r="135" spans="1:6" ht="15" customHeight="1" x14ac:dyDescent="0.3">
      <c r="A135" s="65" t="s">
        <v>242</v>
      </c>
      <c r="B135" s="113" t="s">
        <v>241</v>
      </c>
      <c r="C135" s="60" t="s">
        <v>15</v>
      </c>
      <c r="D135" s="131">
        <f>3.03+3.5</f>
        <v>6.5299999999999994</v>
      </c>
      <c r="E135" s="393"/>
      <c r="F135" s="591"/>
    </row>
    <row r="136" spans="1:6" ht="15" customHeight="1" x14ac:dyDescent="0.3">
      <c r="A136" s="64" t="s">
        <v>24</v>
      </c>
      <c r="B136" s="111" t="s">
        <v>232</v>
      </c>
      <c r="C136" s="60"/>
      <c r="D136" s="131"/>
      <c r="E136" s="393"/>
      <c r="F136" s="591"/>
    </row>
    <row r="137" spans="1:6" ht="15" customHeight="1" x14ac:dyDescent="0.3">
      <c r="A137" s="64" t="s">
        <v>25</v>
      </c>
      <c r="B137" s="130" t="s">
        <v>233</v>
      </c>
      <c r="C137" s="60"/>
      <c r="D137" s="131"/>
      <c r="E137" s="393"/>
      <c r="F137" s="591"/>
    </row>
    <row r="138" spans="1:6" ht="15" customHeight="1" x14ac:dyDescent="0.3">
      <c r="A138" s="68" t="s">
        <v>243</v>
      </c>
      <c r="B138" s="132" t="s">
        <v>230</v>
      </c>
      <c r="C138" s="67" t="s">
        <v>18</v>
      </c>
      <c r="D138" s="133">
        <v>1</v>
      </c>
      <c r="E138" s="593"/>
      <c r="F138" s="591"/>
    </row>
    <row r="139" spans="1:6" ht="15" customHeight="1" x14ac:dyDescent="0.3">
      <c r="A139" s="65" t="s">
        <v>244</v>
      </c>
      <c r="B139" s="69" t="s">
        <v>723</v>
      </c>
      <c r="C139" s="60" t="s">
        <v>18</v>
      </c>
      <c r="D139" s="131">
        <v>1</v>
      </c>
      <c r="E139" s="393"/>
      <c r="F139" s="591"/>
    </row>
    <row r="140" spans="1:6" ht="15" customHeight="1" x14ac:dyDescent="0.3">
      <c r="A140" s="64" t="s">
        <v>245</v>
      </c>
      <c r="B140" s="130" t="s">
        <v>234</v>
      </c>
      <c r="C140" s="60"/>
      <c r="D140" s="131"/>
      <c r="E140" s="393"/>
      <c r="F140" s="591"/>
    </row>
    <row r="141" spans="1:6" ht="15" customHeight="1" x14ac:dyDescent="0.3">
      <c r="A141" s="66" t="s">
        <v>246</v>
      </c>
      <c r="B141" s="69" t="s">
        <v>235</v>
      </c>
      <c r="C141" s="62" t="s">
        <v>18</v>
      </c>
      <c r="D141" s="70">
        <v>1</v>
      </c>
      <c r="E141" s="383"/>
      <c r="F141" s="591"/>
    </row>
    <row r="142" spans="1:6" ht="15" customHeight="1" x14ac:dyDescent="0.3">
      <c r="A142" s="64" t="s">
        <v>247</v>
      </c>
      <c r="B142" s="130" t="s">
        <v>236</v>
      </c>
      <c r="C142" s="62"/>
      <c r="D142" s="70"/>
      <c r="E142" s="383"/>
      <c r="F142" s="591"/>
    </row>
    <row r="143" spans="1:6" ht="15" customHeight="1" x14ac:dyDescent="0.3">
      <c r="A143" s="66" t="s">
        <v>248</v>
      </c>
      <c r="B143" s="69" t="s">
        <v>237</v>
      </c>
      <c r="C143" s="62" t="s">
        <v>18</v>
      </c>
      <c r="D143" s="70">
        <v>1</v>
      </c>
      <c r="E143" s="383"/>
      <c r="F143" s="591"/>
    </row>
    <row r="144" spans="1:6" ht="15" customHeight="1" thickBot="1" x14ac:dyDescent="0.35">
      <c r="A144" s="710"/>
      <c r="B144" s="711"/>
      <c r="C144" s="712"/>
      <c r="D144" s="713"/>
      <c r="E144" s="714"/>
      <c r="F144" s="715"/>
    </row>
    <row r="145" spans="1:6" ht="15" customHeight="1" thickBot="1" x14ac:dyDescent="0.35">
      <c r="A145" s="821" t="s">
        <v>231</v>
      </c>
      <c r="B145" s="822"/>
      <c r="C145" s="822"/>
      <c r="D145" s="822"/>
      <c r="E145" s="823"/>
      <c r="F145" s="586"/>
    </row>
    <row r="146" spans="1:6" ht="15" customHeight="1" x14ac:dyDescent="0.3">
      <c r="A146" s="716"/>
      <c r="B146" s="111"/>
      <c r="C146" s="60"/>
      <c r="D146" s="131"/>
      <c r="E146" s="80"/>
      <c r="F146" s="112"/>
    </row>
    <row r="147" spans="1:6" ht="15" customHeight="1" x14ac:dyDescent="0.3">
      <c r="A147" s="58" t="s">
        <v>249</v>
      </c>
      <c r="B147" s="99" t="s">
        <v>250</v>
      </c>
      <c r="C147" s="60"/>
      <c r="D147" s="131"/>
      <c r="E147" s="51"/>
      <c r="F147" s="89"/>
    </row>
    <row r="148" spans="1:6" ht="15" customHeight="1" x14ac:dyDescent="0.3">
      <c r="A148" s="716"/>
      <c r="B148" s="111"/>
      <c r="C148" s="60"/>
      <c r="D148" s="131"/>
      <c r="E148" s="80"/>
      <c r="F148" s="112"/>
    </row>
    <row r="149" spans="1:6" ht="15" customHeight="1" x14ac:dyDescent="0.3">
      <c r="A149" s="64" t="s">
        <v>26</v>
      </c>
      <c r="B149" s="111" t="s">
        <v>251</v>
      </c>
      <c r="C149" s="60"/>
      <c r="D149" s="131"/>
      <c r="E149" s="80"/>
      <c r="F149" s="119"/>
    </row>
    <row r="150" spans="1:6" ht="15" customHeight="1" x14ac:dyDescent="0.3">
      <c r="A150" s="64" t="s">
        <v>42</v>
      </c>
      <c r="B150" s="127" t="s">
        <v>253</v>
      </c>
      <c r="C150" s="60"/>
      <c r="D150" s="131"/>
      <c r="E150" s="80"/>
      <c r="F150" s="119"/>
    </row>
    <row r="151" spans="1:6" ht="15" customHeight="1" x14ac:dyDescent="0.3">
      <c r="A151" s="65" t="s">
        <v>258</v>
      </c>
      <c r="B151" s="113" t="s">
        <v>422</v>
      </c>
      <c r="C151" s="60" t="s">
        <v>15</v>
      </c>
      <c r="D151" s="131">
        <v>36</v>
      </c>
      <c r="E151" s="594"/>
      <c r="F151" s="591"/>
    </row>
    <row r="152" spans="1:6" ht="15" customHeight="1" x14ac:dyDescent="0.3">
      <c r="A152" s="65" t="s">
        <v>259</v>
      </c>
      <c r="B152" s="113" t="s">
        <v>252</v>
      </c>
      <c r="C152" s="60" t="s">
        <v>15</v>
      </c>
      <c r="D152" s="131">
        <f>+D151</f>
        <v>36</v>
      </c>
      <c r="E152" s="594"/>
      <c r="F152" s="591"/>
    </row>
    <row r="153" spans="1:6" ht="15" customHeight="1" x14ac:dyDescent="0.3">
      <c r="A153" s="64" t="s">
        <v>266</v>
      </c>
      <c r="B153" s="127" t="s">
        <v>254</v>
      </c>
      <c r="C153" s="60"/>
      <c r="D153" s="131"/>
      <c r="E153" s="594"/>
      <c r="F153" s="591"/>
    </row>
    <row r="154" spans="1:6" ht="24.9" customHeight="1" x14ac:dyDescent="0.3">
      <c r="A154" s="66" t="s">
        <v>608</v>
      </c>
      <c r="B154" s="69" t="s">
        <v>280</v>
      </c>
      <c r="C154" s="62" t="s">
        <v>15</v>
      </c>
      <c r="D154" s="70">
        <v>33.47</v>
      </c>
      <c r="E154" s="595"/>
      <c r="F154" s="591"/>
    </row>
    <row r="155" spans="1:6" ht="24.9" customHeight="1" x14ac:dyDescent="0.3">
      <c r="A155" s="66" t="s">
        <v>699</v>
      </c>
      <c r="B155" s="69" t="s">
        <v>264</v>
      </c>
      <c r="C155" s="62" t="s">
        <v>54</v>
      </c>
      <c r="D155" s="70">
        <v>2</v>
      </c>
      <c r="E155" s="595"/>
      <c r="F155" s="591"/>
    </row>
    <row r="156" spans="1:6" ht="15" customHeight="1" x14ac:dyDescent="0.3">
      <c r="A156" s="64" t="s">
        <v>267</v>
      </c>
      <c r="B156" s="127" t="s">
        <v>255</v>
      </c>
      <c r="C156" s="60"/>
      <c r="D156" s="131"/>
      <c r="E156" s="594"/>
      <c r="F156" s="591"/>
    </row>
    <row r="157" spans="1:6" ht="24.9" customHeight="1" x14ac:dyDescent="0.3">
      <c r="A157" s="66" t="s">
        <v>281</v>
      </c>
      <c r="B157" s="69" t="s">
        <v>670</v>
      </c>
      <c r="C157" s="62" t="s">
        <v>18</v>
      </c>
      <c r="D157" s="70">
        <v>1</v>
      </c>
      <c r="E157" s="595"/>
      <c r="F157" s="591"/>
    </row>
    <row r="158" spans="1:6" ht="15" customHeight="1" x14ac:dyDescent="0.3">
      <c r="A158" s="64" t="s">
        <v>27</v>
      </c>
      <c r="B158" s="111" t="s">
        <v>263</v>
      </c>
      <c r="C158" s="60"/>
      <c r="D158" s="131"/>
      <c r="E158" s="594"/>
      <c r="F158" s="591"/>
    </row>
    <row r="159" spans="1:6" ht="15" customHeight="1" x14ac:dyDescent="0.3">
      <c r="A159" s="64" t="s">
        <v>71</v>
      </c>
      <c r="B159" s="127" t="s">
        <v>257</v>
      </c>
      <c r="C159" s="60"/>
      <c r="D159" s="131"/>
      <c r="E159" s="594"/>
      <c r="F159" s="591"/>
    </row>
    <row r="160" spans="1:6" ht="15" customHeight="1" x14ac:dyDescent="0.3">
      <c r="A160" s="65" t="s">
        <v>260</v>
      </c>
      <c r="B160" s="113" t="s">
        <v>423</v>
      </c>
      <c r="C160" s="60" t="s">
        <v>15</v>
      </c>
      <c r="D160" s="131">
        <f>7*1.9*1.2</f>
        <v>15.959999999999997</v>
      </c>
      <c r="E160" s="594"/>
      <c r="F160" s="591"/>
    </row>
    <row r="161" spans="1:6" ht="15" customHeight="1" x14ac:dyDescent="0.3">
      <c r="A161" s="65" t="s">
        <v>261</v>
      </c>
      <c r="B161" s="113" t="s">
        <v>428</v>
      </c>
      <c r="C161" s="60" t="s">
        <v>15</v>
      </c>
      <c r="D161" s="131">
        <f>+(2.45+3.47+3.37+0.3*8+0.72+1.2*2+2.01+3.11+2.53+0.31+2*1.9)*1.2</f>
        <v>31.884</v>
      </c>
      <c r="E161" s="594"/>
      <c r="F161" s="591"/>
    </row>
    <row r="162" spans="1:6" ht="15" customHeight="1" x14ac:dyDescent="0.3">
      <c r="A162" s="65" t="s">
        <v>262</v>
      </c>
      <c r="B162" s="113" t="s">
        <v>256</v>
      </c>
      <c r="C162" s="60" t="s">
        <v>15</v>
      </c>
      <c r="D162" s="131">
        <f>+(2.76+2.37+1.1+1.73+1.56+4.2+1.06+1.78+5.15+2.42+10.46+1.33+1.71+1.95+1.71+1.22+5.11+1.22)*1.2</f>
        <v>58.608000000000004</v>
      </c>
      <c r="E162" s="594"/>
      <c r="F162" s="591"/>
    </row>
    <row r="163" spans="1:6" ht="15" customHeight="1" x14ac:dyDescent="0.3">
      <c r="A163" s="78" t="s">
        <v>28</v>
      </c>
      <c r="B163" s="214" t="s">
        <v>268</v>
      </c>
      <c r="C163" s="185"/>
      <c r="D163" s="165"/>
      <c r="E163" s="185"/>
      <c r="F163" s="591"/>
    </row>
    <row r="164" spans="1:6" ht="15" customHeight="1" x14ac:dyDescent="0.3">
      <c r="A164" s="147" t="s">
        <v>87</v>
      </c>
      <c r="B164" s="215" t="s">
        <v>270</v>
      </c>
      <c r="C164" s="216"/>
      <c r="D164" s="166"/>
      <c r="E164" s="216"/>
      <c r="F164" s="591"/>
    </row>
    <row r="165" spans="1:6" ht="15" customHeight="1" x14ac:dyDescent="0.3">
      <c r="A165" s="148" t="s">
        <v>282</v>
      </c>
      <c r="B165" s="216" t="s">
        <v>269</v>
      </c>
      <c r="C165" s="163" t="s">
        <v>18</v>
      </c>
      <c r="D165" s="169">
        <v>7</v>
      </c>
      <c r="E165" s="216"/>
      <c r="F165" s="591"/>
    </row>
    <row r="166" spans="1:6" ht="15" customHeight="1" x14ac:dyDescent="0.3">
      <c r="A166" s="148" t="s">
        <v>283</v>
      </c>
      <c r="B166" s="216" t="s">
        <v>274</v>
      </c>
      <c r="C166" s="163" t="s">
        <v>18</v>
      </c>
      <c r="D166" s="169">
        <v>1</v>
      </c>
      <c r="E166" s="216"/>
      <c r="F166" s="591"/>
    </row>
    <row r="167" spans="1:6" ht="15" customHeight="1" x14ac:dyDescent="0.3">
      <c r="A167" s="135" t="s">
        <v>89</v>
      </c>
      <c r="B167" s="217" t="s">
        <v>271</v>
      </c>
      <c r="C167" s="185"/>
      <c r="D167" s="165"/>
      <c r="E167" s="185"/>
      <c r="F167" s="591"/>
    </row>
    <row r="168" spans="1:6" ht="15" customHeight="1" x14ac:dyDescent="0.3">
      <c r="A168" s="136" t="s">
        <v>284</v>
      </c>
      <c r="B168" s="113" t="s">
        <v>272</v>
      </c>
      <c r="C168" s="60" t="s">
        <v>18</v>
      </c>
      <c r="D168" s="131">
        <f>1+1+1+1</f>
        <v>4</v>
      </c>
      <c r="E168" s="594"/>
      <c r="F168" s="591"/>
    </row>
    <row r="169" spans="1:6" ht="15" customHeight="1" x14ac:dyDescent="0.3">
      <c r="A169" s="136" t="s">
        <v>285</v>
      </c>
      <c r="B169" s="113" t="s">
        <v>273</v>
      </c>
      <c r="C169" s="60" t="s">
        <v>18</v>
      </c>
      <c r="D169" s="131">
        <f>1+1</f>
        <v>2</v>
      </c>
      <c r="E169" s="594"/>
      <c r="F169" s="591"/>
    </row>
    <row r="170" spans="1:6" ht="15" customHeight="1" x14ac:dyDescent="0.3">
      <c r="A170" s="136" t="s">
        <v>286</v>
      </c>
      <c r="B170" s="113" t="s">
        <v>424</v>
      </c>
      <c r="C170" s="60" t="s">
        <v>18</v>
      </c>
      <c r="D170" s="131">
        <f>1+1</f>
        <v>2</v>
      </c>
      <c r="E170" s="594"/>
      <c r="F170" s="591"/>
    </row>
    <row r="171" spans="1:6" ht="15" customHeight="1" x14ac:dyDescent="0.3">
      <c r="A171" s="135" t="s">
        <v>90</v>
      </c>
      <c r="B171" s="127" t="s">
        <v>275</v>
      </c>
      <c r="C171" s="60"/>
      <c r="D171" s="131"/>
      <c r="E171" s="594"/>
      <c r="F171" s="591"/>
    </row>
    <row r="172" spans="1:6" ht="15" customHeight="1" x14ac:dyDescent="0.3">
      <c r="A172" s="136" t="s">
        <v>287</v>
      </c>
      <c r="B172" s="113" t="s">
        <v>276</v>
      </c>
      <c r="C172" s="60" t="s">
        <v>18</v>
      </c>
      <c r="D172" s="131">
        <v>8</v>
      </c>
      <c r="E172" s="594"/>
      <c r="F172" s="591"/>
    </row>
    <row r="173" spans="1:6" ht="15" customHeight="1" x14ac:dyDescent="0.3">
      <c r="A173" s="136" t="s">
        <v>288</v>
      </c>
      <c r="B173" s="113" t="s">
        <v>277</v>
      </c>
      <c r="C173" s="60" t="s">
        <v>18</v>
      </c>
      <c r="D173" s="131">
        <v>6</v>
      </c>
      <c r="E173" s="594"/>
      <c r="F173" s="591"/>
    </row>
    <row r="174" spans="1:6" ht="15" customHeight="1" x14ac:dyDescent="0.3">
      <c r="A174" s="136" t="s">
        <v>289</v>
      </c>
      <c r="B174" s="113" t="s">
        <v>278</v>
      </c>
      <c r="C174" s="60" t="s">
        <v>18</v>
      </c>
      <c r="D174" s="131">
        <v>1</v>
      </c>
      <c r="E174" s="594"/>
      <c r="F174" s="591"/>
    </row>
    <row r="175" spans="1:6" ht="15" customHeight="1" x14ac:dyDescent="0.3">
      <c r="A175" s="136" t="s">
        <v>290</v>
      </c>
      <c r="B175" s="113" t="s">
        <v>279</v>
      </c>
      <c r="C175" s="60" t="s">
        <v>18</v>
      </c>
      <c r="D175" s="131">
        <v>2</v>
      </c>
      <c r="E175" s="594"/>
      <c r="F175" s="591"/>
    </row>
    <row r="176" spans="1:6" ht="15" customHeight="1" x14ac:dyDescent="0.3">
      <c r="A176" s="135" t="s">
        <v>29</v>
      </c>
      <c r="B176" s="111" t="s">
        <v>232</v>
      </c>
      <c r="C176" s="60"/>
      <c r="D176" s="131"/>
      <c r="E176" s="594"/>
      <c r="F176" s="591"/>
    </row>
    <row r="177" spans="1:6" ht="15" customHeight="1" x14ac:dyDescent="0.3">
      <c r="A177" s="65" t="s">
        <v>91</v>
      </c>
      <c r="B177" s="113" t="s">
        <v>265</v>
      </c>
      <c r="C177" s="60" t="s">
        <v>54</v>
      </c>
      <c r="D177" s="131">
        <v>1</v>
      </c>
      <c r="E177" s="594"/>
      <c r="F177" s="591"/>
    </row>
    <row r="178" spans="1:6" ht="15" customHeight="1" thickBot="1" x14ac:dyDescent="0.35">
      <c r="A178" s="65"/>
      <c r="B178" s="113"/>
      <c r="C178" s="60"/>
      <c r="D178" s="131"/>
      <c r="E178" s="80"/>
      <c r="F178" s="119"/>
    </row>
    <row r="179" spans="1:6" ht="15" customHeight="1" thickBot="1" x14ac:dyDescent="0.35">
      <c r="A179" s="821" t="s">
        <v>291</v>
      </c>
      <c r="B179" s="822"/>
      <c r="C179" s="822"/>
      <c r="D179" s="822"/>
      <c r="E179" s="823"/>
      <c r="F179" s="589"/>
    </row>
    <row r="180" spans="1:6" ht="15" customHeight="1" x14ac:dyDescent="0.3">
      <c r="A180" s="65"/>
      <c r="B180" s="113"/>
      <c r="C180" s="60"/>
      <c r="D180" s="218"/>
      <c r="E180" s="80"/>
      <c r="F180" s="119"/>
    </row>
    <row r="181" spans="1:6" ht="15" customHeight="1" x14ac:dyDescent="0.3">
      <c r="A181" s="58" t="s">
        <v>292</v>
      </c>
      <c r="B181" s="99" t="s">
        <v>293</v>
      </c>
      <c r="C181" s="60"/>
      <c r="D181" s="131"/>
      <c r="E181" s="51"/>
      <c r="F181" s="89"/>
    </row>
    <row r="182" spans="1:6" ht="15" customHeight="1" x14ac:dyDescent="0.3">
      <c r="A182" s="65"/>
      <c r="B182" s="113"/>
      <c r="C182" s="60"/>
      <c r="D182" s="218"/>
      <c r="E182" s="80"/>
      <c r="F182" s="119"/>
    </row>
    <row r="183" spans="1:6" ht="15" customHeight="1" x14ac:dyDescent="0.3">
      <c r="A183" s="64" t="s">
        <v>294</v>
      </c>
      <c r="B183" s="111" t="s">
        <v>295</v>
      </c>
      <c r="C183" s="60"/>
      <c r="D183" s="131"/>
      <c r="E183" s="80"/>
      <c r="F183" s="119"/>
    </row>
    <row r="184" spans="1:6" ht="15" customHeight="1" x14ac:dyDescent="0.3">
      <c r="A184" s="64" t="s">
        <v>296</v>
      </c>
      <c r="B184" s="127" t="s">
        <v>297</v>
      </c>
      <c r="C184" s="60"/>
      <c r="D184" s="218"/>
      <c r="E184" s="80"/>
      <c r="F184" s="119"/>
    </row>
    <row r="185" spans="1:6" ht="15" customHeight="1" x14ac:dyDescent="0.3">
      <c r="A185" s="65" t="s">
        <v>298</v>
      </c>
      <c r="B185" s="113" t="s">
        <v>301</v>
      </c>
      <c r="C185" s="60" t="s">
        <v>18</v>
      </c>
      <c r="D185" s="131">
        <v>1</v>
      </c>
      <c r="E185" s="594"/>
      <c r="F185" s="591"/>
    </row>
    <row r="186" spans="1:6" ht="15" customHeight="1" x14ac:dyDescent="0.3">
      <c r="A186" s="65" t="s">
        <v>299</v>
      </c>
      <c r="B186" s="113" t="s">
        <v>302</v>
      </c>
      <c r="C186" s="60" t="s">
        <v>18</v>
      </c>
      <c r="D186" s="131">
        <v>1</v>
      </c>
      <c r="E186" s="594"/>
      <c r="F186" s="591"/>
    </row>
    <row r="187" spans="1:6" ht="15" customHeight="1" x14ac:dyDescent="0.3">
      <c r="A187" s="64" t="s">
        <v>305</v>
      </c>
      <c r="B187" s="127" t="s">
        <v>300</v>
      </c>
      <c r="C187" s="60"/>
      <c r="D187" s="131"/>
      <c r="E187" s="594"/>
      <c r="F187" s="591"/>
    </row>
    <row r="188" spans="1:6" ht="15" customHeight="1" x14ac:dyDescent="0.3">
      <c r="A188" s="65" t="s">
        <v>306</v>
      </c>
      <c r="B188" s="113" t="s">
        <v>303</v>
      </c>
      <c r="C188" s="60" t="s">
        <v>18</v>
      </c>
      <c r="D188" s="131">
        <v>3</v>
      </c>
      <c r="E188" s="594"/>
      <c r="F188" s="591"/>
    </row>
    <row r="189" spans="1:6" ht="15" customHeight="1" x14ac:dyDescent="0.3">
      <c r="A189" s="65" t="s">
        <v>307</v>
      </c>
      <c r="B189" s="113" t="s">
        <v>304</v>
      </c>
      <c r="C189" s="60" t="s">
        <v>18</v>
      </c>
      <c r="D189" s="131">
        <v>1</v>
      </c>
      <c r="E189" s="594"/>
      <c r="F189" s="591"/>
    </row>
    <row r="190" spans="1:6" ht="15" customHeight="1" thickBot="1" x14ac:dyDescent="0.35">
      <c r="A190" s="65"/>
      <c r="B190" s="113"/>
      <c r="C190" s="60"/>
      <c r="D190" s="218"/>
      <c r="E190" s="80"/>
      <c r="F190" s="119"/>
    </row>
    <row r="191" spans="1:6" ht="15" customHeight="1" thickBot="1" x14ac:dyDescent="0.35">
      <c r="A191" s="821" t="s">
        <v>308</v>
      </c>
      <c r="B191" s="822"/>
      <c r="C191" s="822"/>
      <c r="D191" s="822"/>
      <c r="E191" s="823"/>
      <c r="F191" s="586"/>
    </row>
    <row r="192" spans="1:6" ht="15" customHeight="1" x14ac:dyDescent="0.3">
      <c r="A192" s="65"/>
      <c r="B192" s="113"/>
      <c r="C192" s="60"/>
      <c r="D192" s="218"/>
      <c r="E192" s="80"/>
      <c r="F192" s="119"/>
    </row>
    <row r="193" spans="1:6" ht="15" customHeight="1" x14ac:dyDescent="0.3">
      <c r="A193" s="58" t="s">
        <v>309</v>
      </c>
      <c r="B193" s="99" t="s">
        <v>310</v>
      </c>
      <c r="C193" s="60"/>
      <c r="D193" s="131"/>
      <c r="E193" s="51"/>
      <c r="F193" s="89"/>
    </row>
    <row r="194" spans="1:6" ht="15" customHeight="1" x14ac:dyDescent="0.3">
      <c r="A194" s="65"/>
      <c r="B194" s="113"/>
      <c r="C194" s="60"/>
      <c r="D194" s="218"/>
      <c r="E194" s="80"/>
      <c r="F194" s="119"/>
    </row>
    <row r="195" spans="1:6" ht="15" customHeight="1" x14ac:dyDescent="0.3">
      <c r="A195" s="64" t="s">
        <v>48</v>
      </c>
      <c r="B195" s="111" t="s">
        <v>88</v>
      </c>
      <c r="C195" s="60"/>
      <c r="D195" s="131"/>
      <c r="E195" s="80"/>
      <c r="F195" s="119"/>
    </row>
    <row r="196" spans="1:6" ht="15" customHeight="1" x14ac:dyDescent="0.3">
      <c r="A196" s="64" t="s">
        <v>49</v>
      </c>
      <c r="B196" s="127" t="s">
        <v>311</v>
      </c>
      <c r="C196" s="60"/>
      <c r="D196" s="218"/>
      <c r="E196" s="80"/>
      <c r="F196" s="119"/>
    </row>
    <row r="197" spans="1:6" ht="15" customHeight="1" x14ac:dyDescent="0.3">
      <c r="A197" s="65" t="s">
        <v>313</v>
      </c>
      <c r="B197" s="113" t="s">
        <v>312</v>
      </c>
      <c r="C197" s="60" t="s">
        <v>414</v>
      </c>
      <c r="D197" s="131">
        <v>1</v>
      </c>
      <c r="E197" s="393"/>
      <c r="F197" s="590"/>
    </row>
    <row r="198" spans="1:6" ht="15" customHeight="1" x14ac:dyDescent="0.3">
      <c r="A198" s="64" t="s">
        <v>316</v>
      </c>
      <c r="B198" s="111" t="s">
        <v>314</v>
      </c>
      <c r="C198" s="60"/>
      <c r="D198" s="131"/>
      <c r="E198" s="393"/>
      <c r="F198" s="590"/>
    </row>
    <row r="199" spans="1:6" ht="15" customHeight="1" x14ac:dyDescent="0.3">
      <c r="A199" s="65" t="s">
        <v>319</v>
      </c>
      <c r="B199" s="113" t="s">
        <v>315</v>
      </c>
      <c r="C199" s="60" t="s">
        <v>15</v>
      </c>
      <c r="D199" s="131">
        <f>+(8.29+2*0.3+3)*1.2</f>
        <v>14.267999999999999</v>
      </c>
      <c r="E199" s="393"/>
      <c r="F199" s="590"/>
    </row>
    <row r="200" spans="1:6" ht="15" customHeight="1" x14ac:dyDescent="0.3">
      <c r="A200" s="65" t="s">
        <v>320</v>
      </c>
      <c r="B200" s="113" t="s">
        <v>318</v>
      </c>
      <c r="C200" s="60" t="s">
        <v>15</v>
      </c>
      <c r="D200" s="131">
        <f>+D199</f>
        <v>14.267999999999999</v>
      </c>
      <c r="E200" s="393"/>
      <c r="F200" s="590"/>
    </row>
    <row r="201" spans="1:6" ht="15" customHeight="1" x14ac:dyDescent="0.3">
      <c r="A201" s="65" t="s">
        <v>321</v>
      </c>
      <c r="B201" s="113" t="s">
        <v>317</v>
      </c>
      <c r="C201" s="60" t="s">
        <v>18</v>
      </c>
      <c r="D201" s="131">
        <v>1</v>
      </c>
      <c r="E201" s="393"/>
      <c r="F201" s="590"/>
    </row>
    <row r="202" spans="1:6" ht="15" customHeight="1" x14ac:dyDescent="0.3">
      <c r="A202" s="64" t="s">
        <v>323</v>
      </c>
      <c r="B202" s="111" t="s">
        <v>322</v>
      </c>
      <c r="C202" s="60"/>
      <c r="D202" s="131"/>
      <c r="E202" s="393"/>
      <c r="F202" s="590"/>
    </row>
    <row r="203" spans="1:6" ht="15" customHeight="1" x14ac:dyDescent="0.3">
      <c r="A203" s="65" t="s">
        <v>325</v>
      </c>
      <c r="B203" s="113" t="s">
        <v>324</v>
      </c>
      <c r="C203" s="60" t="s">
        <v>18</v>
      </c>
      <c r="D203" s="131">
        <v>2</v>
      </c>
      <c r="E203" s="393"/>
      <c r="F203" s="590"/>
    </row>
    <row r="204" spans="1:6" ht="15" customHeight="1" thickBot="1" x14ac:dyDescent="0.35">
      <c r="A204" s="65"/>
      <c r="B204" s="113"/>
      <c r="C204" s="60"/>
      <c r="D204" s="218"/>
      <c r="E204" s="80"/>
      <c r="F204" s="119"/>
    </row>
    <row r="205" spans="1:6" ht="15" customHeight="1" thickBot="1" x14ac:dyDescent="0.35">
      <c r="A205" s="821" t="s">
        <v>326</v>
      </c>
      <c r="B205" s="822"/>
      <c r="C205" s="822"/>
      <c r="D205" s="822"/>
      <c r="E205" s="823"/>
      <c r="F205" s="586"/>
    </row>
    <row r="206" spans="1:6" ht="15" customHeight="1" x14ac:dyDescent="0.3">
      <c r="A206" s="65"/>
      <c r="B206" s="113"/>
      <c r="C206" s="60"/>
      <c r="D206" s="218"/>
      <c r="E206" s="80"/>
      <c r="F206" s="119"/>
    </row>
    <row r="207" spans="1:6" ht="15" customHeight="1" x14ac:dyDescent="0.3">
      <c r="A207" s="58" t="s">
        <v>327</v>
      </c>
      <c r="B207" s="99" t="s">
        <v>328</v>
      </c>
      <c r="C207" s="60"/>
      <c r="D207" s="131"/>
      <c r="E207" s="51"/>
      <c r="F207" s="89"/>
    </row>
    <row r="208" spans="1:6" ht="15" customHeight="1" x14ac:dyDescent="0.3">
      <c r="A208" s="65"/>
      <c r="B208" s="113"/>
      <c r="C208" s="60"/>
      <c r="D208" s="218"/>
      <c r="E208" s="80"/>
      <c r="F208" s="119"/>
    </row>
    <row r="209" spans="1:6" ht="15" customHeight="1" x14ac:dyDescent="0.3">
      <c r="A209" s="64" t="s">
        <v>93</v>
      </c>
      <c r="B209" s="111" t="s">
        <v>329</v>
      </c>
      <c r="C209" s="60"/>
      <c r="D209" s="218"/>
      <c r="E209" s="80"/>
      <c r="F209" s="119"/>
    </row>
    <row r="210" spans="1:6" ht="15" customHeight="1" x14ac:dyDescent="0.3">
      <c r="A210" s="64" t="s">
        <v>94</v>
      </c>
      <c r="B210" s="127" t="s">
        <v>330</v>
      </c>
      <c r="C210" s="60"/>
      <c r="D210" s="218"/>
      <c r="E210" s="80"/>
      <c r="F210" s="119"/>
    </row>
    <row r="211" spans="1:6" s="18" customFormat="1" ht="24.9" customHeight="1" x14ac:dyDescent="0.3">
      <c r="A211" s="66" t="s">
        <v>332</v>
      </c>
      <c r="B211" s="69" t="s">
        <v>718</v>
      </c>
      <c r="C211" s="62" t="s">
        <v>18</v>
      </c>
      <c r="D211" s="70">
        <v>2</v>
      </c>
      <c r="E211" s="211"/>
      <c r="F211" s="591"/>
    </row>
    <row r="212" spans="1:6" ht="15" customHeight="1" thickBot="1" x14ac:dyDescent="0.35">
      <c r="A212" s="65"/>
      <c r="B212" s="113"/>
      <c r="C212" s="60"/>
      <c r="D212" s="218"/>
      <c r="E212" s="80"/>
      <c r="F212" s="591"/>
    </row>
    <row r="213" spans="1:6" ht="15" customHeight="1" thickBot="1" x14ac:dyDescent="0.35">
      <c r="A213" s="821" t="s">
        <v>333</v>
      </c>
      <c r="B213" s="822"/>
      <c r="C213" s="822"/>
      <c r="D213" s="822"/>
      <c r="E213" s="823"/>
      <c r="F213" s="586"/>
    </row>
    <row r="214" spans="1:6" ht="15" customHeight="1" x14ac:dyDescent="0.3">
      <c r="A214" s="65"/>
      <c r="B214" s="113"/>
      <c r="C214" s="60"/>
      <c r="D214" s="218"/>
      <c r="E214" s="80"/>
      <c r="F214" s="119"/>
    </row>
    <row r="215" spans="1:6" ht="15" customHeight="1" x14ac:dyDescent="0.3">
      <c r="A215" s="58" t="s">
        <v>334</v>
      </c>
      <c r="B215" s="99" t="s">
        <v>335</v>
      </c>
      <c r="C215" s="60"/>
      <c r="D215" s="131"/>
      <c r="E215" s="51"/>
      <c r="F215" s="89"/>
    </row>
    <row r="216" spans="1:6" ht="15" customHeight="1" x14ac:dyDescent="0.3">
      <c r="A216" s="65"/>
      <c r="B216" s="113"/>
      <c r="C216" s="60"/>
      <c r="D216" s="218"/>
      <c r="E216" s="80"/>
      <c r="F216" s="119"/>
    </row>
    <row r="217" spans="1:6" ht="15" customHeight="1" x14ac:dyDescent="0.3">
      <c r="A217" s="64" t="s">
        <v>69</v>
      </c>
      <c r="B217" s="111" t="s">
        <v>336</v>
      </c>
      <c r="C217" s="60"/>
      <c r="D217" s="218"/>
      <c r="E217" s="80"/>
      <c r="F217" s="119"/>
    </row>
    <row r="218" spans="1:6" ht="15" customHeight="1" x14ac:dyDescent="0.3">
      <c r="A218" s="64" t="s">
        <v>70</v>
      </c>
      <c r="B218" s="127" t="s">
        <v>337</v>
      </c>
      <c r="C218" s="60"/>
      <c r="D218" s="218"/>
      <c r="E218" s="80"/>
      <c r="F218" s="119"/>
    </row>
    <row r="219" spans="1:6" ht="15" customHeight="1" x14ac:dyDescent="0.3">
      <c r="A219" s="65" t="s">
        <v>342</v>
      </c>
      <c r="B219" s="113" t="s">
        <v>671</v>
      </c>
      <c r="C219" s="163" t="s">
        <v>131</v>
      </c>
      <c r="D219" s="131">
        <f>10.97+8.63+14.68+8.79</f>
        <v>43.07</v>
      </c>
      <c r="E219" s="80"/>
      <c r="F219" s="591"/>
    </row>
    <row r="220" spans="1:6" ht="15" customHeight="1" x14ac:dyDescent="0.3">
      <c r="A220" s="65" t="s">
        <v>343</v>
      </c>
      <c r="B220" s="113" t="s">
        <v>338</v>
      </c>
      <c r="C220" s="163" t="s">
        <v>131</v>
      </c>
      <c r="D220" s="131">
        <f>2*2.4</f>
        <v>4.8</v>
      </c>
      <c r="E220" s="80"/>
      <c r="F220" s="591"/>
    </row>
    <row r="221" spans="1:6" ht="15" customHeight="1" x14ac:dyDescent="0.3">
      <c r="A221" s="65" t="s">
        <v>344</v>
      </c>
      <c r="B221" s="113" t="s">
        <v>339</v>
      </c>
      <c r="C221" s="60" t="s">
        <v>15</v>
      </c>
      <c r="D221" s="131">
        <f>+((13.28-0.9)+(15.14-(2*0.9+0.8))+(17.64-(0.9+0.8))+4.58+(2*1.68)+(0.28*4)+(0.18*6))</f>
        <v>50.999999999999993</v>
      </c>
      <c r="E221" s="80"/>
      <c r="F221" s="591"/>
    </row>
    <row r="222" spans="1:6" ht="15" customHeight="1" x14ac:dyDescent="0.3">
      <c r="A222" s="64" t="s">
        <v>345</v>
      </c>
      <c r="B222" s="111" t="s">
        <v>340</v>
      </c>
      <c r="C222" s="60"/>
      <c r="D222" s="131"/>
      <c r="E222" s="80"/>
      <c r="F222" s="591"/>
    </row>
    <row r="223" spans="1:6" ht="15" customHeight="1" x14ac:dyDescent="0.3">
      <c r="A223" s="64" t="s">
        <v>346</v>
      </c>
      <c r="B223" s="127" t="s">
        <v>341</v>
      </c>
      <c r="C223" s="60"/>
      <c r="D223" s="131"/>
      <c r="E223" s="80"/>
      <c r="F223" s="591"/>
    </row>
    <row r="224" spans="1:6" ht="15" customHeight="1" x14ac:dyDescent="0.3">
      <c r="A224" s="65" t="s">
        <v>347</v>
      </c>
      <c r="B224" s="113" t="s">
        <v>429</v>
      </c>
      <c r="C224" s="163" t="s">
        <v>131</v>
      </c>
      <c r="D224" s="131">
        <f>(6.4-0.8)*2.2*2</f>
        <v>24.640000000000004</v>
      </c>
      <c r="E224" s="80"/>
      <c r="F224" s="591"/>
    </row>
    <row r="225" spans="1:6" ht="15" customHeight="1" thickBot="1" x14ac:dyDescent="0.35">
      <c r="A225" s="65"/>
      <c r="B225" s="113"/>
      <c r="C225" s="60"/>
      <c r="D225" s="218"/>
      <c r="E225" s="80"/>
      <c r="F225" s="119"/>
    </row>
    <row r="226" spans="1:6" ht="15" customHeight="1" thickBot="1" x14ac:dyDescent="0.35">
      <c r="A226" s="821" t="s">
        <v>348</v>
      </c>
      <c r="B226" s="822"/>
      <c r="C226" s="822"/>
      <c r="D226" s="822"/>
      <c r="E226" s="823"/>
      <c r="F226" s="586"/>
    </row>
    <row r="227" spans="1:6" ht="15" customHeight="1" x14ac:dyDescent="0.3">
      <c r="A227" s="65"/>
      <c r="B227" s="113"/>
      <c r="C227" s="60"/>
      <c r="D227" s="218"/>
      <c r="E227" s="80"/>
      <c r="F227" s="119"/>
    </row>
    <row r="228" spans="1:6" ht="15" customHeight="1" x14ac:dyDescent="0.3">
      <c r="A228" s="58" t="s">
        <v>349</v>
      </c>
      <c r="B228" s="99" t="s">
        <v>350</v>
      </c>
      <c r="C228" s="60"/>
      <c r="D228" s="131"/>
      <c r="E228" s="51"/>
      <c r="F228" s="89"/>
    </row>
    <row r="229" spans="1:6" ht="15" customHeight="1" x14ac:dyDescent="0.3">
      <c r="A229" s="65"/>
      <c r="B229" s="113"/>
      <c r="C229" s="60"/>
      <c r="D229" s="218"/>
      <c r="E229" s="80"/>
      <c r="F229" s="119"/>
    </row>
    <row r="230" spans="1:6" ht="15" customHeight="1" x14ac:dyDescent="0.3">
      <c r="A230" s="64" t="s">
        <v>32</v>
      </c>
      <c r="B230" s="111" t="s">
        <v>354</v>
      </c>
      <c r="C230" s="60"/>
      <c r="D230" s="218"/>
      <c r="E230" s="80"/>
      <c r="F230" s="119"/>
    </row>
    <row r="231" spans="1:6" ht="15" customHeight="1" x14ac:dyDescent="0.3">
      <c r="A231" s="64" t="s">
        <v>41</v>
      </c>
      <c r="B231" s="127" t="s">
        <v>355</v>
      </c>
      <c r="C231" s="60"/>
      <c r="D231" s="131"/>
      <c r="E231" s="80"/>
      <c r="F231" s="119"/>
    </row>
    <row r="232" spans="1:6" ht="24.9" customHeight="1" x14ac:dyDescent="0.3">
      <c r="A232" s="66" t="s">
        <v>356</v>
      </c>
      <c r="B232" s="69" t="s">
        <v>426</v>
      </c>
      <c r="C232" s="62" t="s">
        <v>18</v>
      </c>
      <c r="D232" s="70">
        <v>1</v>
      </c>
      <c r="E232" s="383"/>
      <c r="F232" s="591"/>
    </row>
    <row r="233" spans="1:6" ht="24.9" customHeight="1" x14ac:dyDescent="0.3">
      <c r="A233" s="66" t="s">
        <v>357</v>
      </c>
      <c r="B233" s="69" t="s">
        <v>362</v>
      </c>
      <c r="C233" s="62" t="s">
        <v>18</v>
      </c>
      <c r="D233" s="70">
        <f>1+1</f>
        <v>2</v>
      </c>
      <c r="E233" s="383"/>
      <c r="F233" s="591"/>
    </row>
    <row r="234" spans="1:6" ht="24.9" customHeight="1" x14ac:dyDescent="0.3">
      <c r="A234" s="66" t="s">
        <v>427</v>
      </c>
      <c r="B234" s="69" t="s">
        <v>363</v>
      </c>
      <c r="C234" s="60" t="s">
        <v>18</v>
      </c>
      <c r="D234" s="131">
        <f>1+1</f>
        <v>2</v>
      </c>
      <c r="E234" s="393"/>
      <c r="F234" s="591"/>
    </row>
    <row r="235" spans="1:6" ht="15" customHeight="1" x14ac:dyDescent="0.3">
      <c r="A235" s="64" t="s">
        <v>33</v>
      </c>
      <c r="B235" s="127" t="s">
        <v>358</v>
      </c>
      <c r="C235" s="60" t="s">
        <v>6</v>
      </c>
      <c r="D235" s="219"/>
      <c r="E235" s="393"/>
      <c r="F235" s="591"/>
    </row>
    <row r="236" spans="1:6" ht="24.9" customHeight="1" x14ac:dyDescent="0.3">
      <c r="A236" s="66" t="s">
        <v>359</v>
      </c>
      <c r="B236" s="69" t="s">
        <v>353</v>
      </c>
      <c r="C236" s="62" t="s">
        <v>18</v>
      </c>
      <c r="D236" s="70">
        <v>5</v>
      </c>
      <c r="E236" s="383"/>
      <c r="F236" s="591"/>
    </row>
    <row r="237" spans="1:6" ht="24.9" customHeight="1" x14ac:dyDescent="0.3">
      <c r="A237" s="66" t="s">
        <v>360</v>
      </c>
      <c r="B237" s="69" t="s">
        <v>352</v>
      </c>
      <c r="C237" s="62" t="s">
        <v>18</v>
      </c>
      <c r="D237" s="70">
        <v>1</v>
      </c>
      <c r="E237" s="383"/>
      <c r="F237" s="591"/>
    </row>
    <row r="238" spans="1:6" ht="24.9" customHeight="1" x14ac:dyDescent="0.3">
      <c r="A238" s="66" t="s">
        <v>361</v>
      </c>
      <c r="B238" s="69" t="s">
        <v>351</v>
      </c>
      <c r="C238" s="62" t="s">
        <v>18</v>
      </c>
      <c r="D238" s="70">
        <v>2</v>
      </c>
      <c r="E238" s="383"/>
      <c r="F238" s="591"/>
    </row>
    <row r="239" spans="1:6" ht="15" customHeight="1" x14ac:dyDescent="0.3">
      <c r="A239" s="64" t="s">
        <v>34</v>
      </c>
      <c r="B239" s="111" t="s">
        <v>50</v>
      </c>
      <c r="C239" s="60"/>
      <c r="D239" s="131"/>
      <c r="E239" s="393"/>
      <c r="F239" s="591"/>
    </row>
    <row r="240" spans="1:6" ht="24.9" customHeight="1" x14ac:dyDescent="0.3">
      <c r="A240" s="66" t="s">
        <v>68</v>
      </c>
      <c r="B240" s="69" t="s">
        <v>364</v>
      </c>
      <c r="C240" s="482" t="s">
        <v>131</v>
      </c>
      <c r="D240" s="70">
        <f>2*2.8</f>
        <v>5.6</v>
      </c>
      <c r="E240" s="383"/>
      <c r="F240" s="591"/>
    </row>
    <row r="241" spans="1:6" ht="15" customHeight="1" thickBot="1" x14ac:dyDescent="0.35">
      <c r="A241" s="700"/>
      <c r="B241" s="717"/>
      <c r="C241" s="718"/>
      <c r="D241" s="719"/>
      <c r="E241" s="207"/>
      <c r="F241" s="115"/>
    </row>
    <row r="242" spans="1:6" ht="15" customHeight="1" thickBot="1" x14ac:dyDescent="0.35">
      <c r="A242" s="821" t="s">
        <v>366</v>
      </c>
      <c r="B242" s="822"/>
      <c r="C242" s="822"/>
      <c r="D242" s="822"/>
      <c r="E242" s="823"/>
      <c r="F242" s="586"/>
    </row>
    <row r="243" spans="1:6" ht="15" customHeight="1" x14ac:dyDescent="0.3">
      <c r="A243" s="54"/>
      <c r="B243" s="111"/>
      <c r="C243" s="60"/>
      <c r="D243" s="218"/>
      <c r="E243" s="80"/>
      <c r="F243" s="112"/>
    </row>
    <row r="244" spans="1:6" ht="15" customHeight="1" x14ac:dyDescent="0.3">
      <c r="A244" s="58" t="s">
        <v>367</v>
      </c>
      <c r="B244" s="99" t="s">
        <v>368</v>
      </c>
      <c r="C244" s="60"/>
      <c r="D244" s="131"/>
      <c r="E244" s="51"/>
      <c r="F244" s="89"/>
    </row>
    <row r="245" spans="1:6" ht="15" customHeight="1" x14ac:dyDescent="0.3">
      <c r="A245" s="54"/>
      <c r="B245" s="111"/>
      <c r="C245" s="60"/>
      <c r="D245" s="218"/>
      <c r="E245" s="80"/>
      <c r="F245" s="112"/>
    </row>
    <row r="246" spans="1:6" ht="15" customHeight="1" x14ac:dyDescent="0.3">
      <c r="A246" s="64" t="s">
        <v>64</v>
      </c>
      <c r="B246" s="111" t="s">
        <v>369</v>
      </c>
      <c r="C246" s="60"/>
      <c r="D246" s="218"/>
      <c r="E246" s="80"/>
      <c r="F246" s="119"/>
    </row>
    <row r="247" spans="1:6" ht="24.9" customHeight="1" x14ac:dyDescent="0.3">
      <c r="A247" s="66" t="s">
        <v>65</v>
      </c>
      <c r="B247" s="69" t="s">
        <v>370</v>
      </c>
      <c r="C247" s="163" t="s">
        <v>131</v>
      </c>
      <c r="D247" s="70">
        <f>+D219</f>
        <v>43.07</v>
      </c>
      <c r="E247" s="383"/>
      <c r="F247" s="591"/>
    </row>
    <row r="248" spans="1:6" ht="15" customHeight="1" x14ac:dyDescent="0.3">
      <c r="A248" s="64" t="s">
        <v>66</v>
      </c>
      <c r="B248" s="111" t="s">
        <v>704</v>
      </c>
      <c r="C248" s="60"/>
      <c r="D248" s="131"/>
      <c r="E248" s="393"/>
      <c r="F248" s="591"/>
    </row>
    <row r="249" spans="1:6" ht="24.9" customHeight="1" x14ac:dyDescent="0.3">
      <c r="A249" s="66" t="s">
        <v>67</v>
      </c>
      <c r="B249" s="69" t="s">
        <v>672</v>
      </c>
      <c r="C249" s="163" t="s">
        <v>131</v>
      </c>
      <c r="D249" s="70">
        <f>(4*5.89+2*6.78)*0.6</f>
        <v>22.271999999999998</v>
      </c>
      <c r="E249" s="383"/>
      <c r="F249" s="591"/>
    </row>
    <row r="250" spans="1:6" ht="15" customHeight="1" thickBot="1" x14ac:dyDescent="0.35">
      <c r="A250" s="64"/>
      <c r="B250" s="111"/>
      <c r="C250" s="60"/>
      <c r="D250" s="218"/>
      <c r="E250" s="80"/>
      <c r="F250" s="119"/>
    </row>
    <row r="251" spans="1:6" ht="15" customHeight="1" thickBot="1" x14ac:dyDescent="0.35">
      <c r="A251" s="821" t="s">
        <v>371</v>
      </c>
      <c r="B251" s="822"/>
      <c r="C251" s="822"/>
      <c r="D251" s="822"/>
      <c r="E251" s="823"/>
      <c r="F251" s="586"/>
    </row>
    <row r="252" spans="1:6" ht="15" customHeight="1" x14ac:dyDescent="0.3">
      <c r="A252" s="64"/>
      <c r="B252" s="111"/>
      <c r="C252" s="60"/>
      <c r="D252" s="218"/>
      <c r="E252" s="80"/>
      <c r="F252" s="119"/>
    </row>
    <row r="253" spans="1:6" ht="15" customHeight="1" x14ac:dyDescent="0.3">
      <c r="A253" s="58" t="s">
        <v>372</v>
      </c>
      <c r="B253" s="99" t="s">
        <v>373</v>
      </c>
      <c r="C253" s="60"/>
      <c r="D253" s="131"/>
      <c r="E253" s="51"/>
      <c r="F253" s="89"/>
    </row>
    <row r="254" spans="1:6" ht="15" customHeight="1" x14ac:dyDescent="0.3">
      <c r="A254" s="64"/>
      <c r="B254" s="111"/>
      <c r="C254" s="60"/>
      <c r="D254" s="218"/>
      <c r="E254" s="80"/>
      <c r="F254" s="119"/>
    </row>
    <row r="255" spans="1:6" ht="15" customHeight="1" x14ac:dyDescent="0.3">
      <c r="A255" s="64" t="s">
        <v>35</v>
      </c>
      <c r="B255" s="111" t="s">
        <v>374</v>
      </c>
      <c r="C255" s="60" t="s">
        <v>6</v>
      </c>
      <c r="D255" s="131"/>
      <c r="E255" s="80"/>
      <c r="F255" s="119"/>
    </row>
    <row r="256" spans="1:6" ht="15" customHeight="1" x14ac:dyDescent="0.3">
      <c r="A256" s="64" t="s">
        <v>56</v>
      </c>
      <c r="B256" s="127" t="s">
        <v>376</v>
      </c>
      <c r="C256" s="60"/>
      <c r="D256" s="131"/>
      <c r="E256" s="80"/>
      <c r="F256" s="119"/>
    </row>
    <row r="257" spans="1:6" ht="15" customHeight="1" x14ac:dyDescent="0.3">
      <c r="A257" s="65" t="s">
        <v>377</v>
      </c>
      <c r="B257" s="113" t="s">
        <v>375</v>
      </c>
      <c r="C257" s="163" t="s">
        <v>131</v>
      </c>
      <c r="D257" s="131">
        <f>+D69+D70</f>
        <v>278.11599999999999</v>
      </c>
      <c r="E257" s="393"/>
      <c r="F257" s="591"/>
    </row>
    <row r="258" spans="1:6" ht="15" customHeight="1" x14ac:dyDescent="0.3">
      <c r="A258" s="64" t="s">
        <v>36</v>
      </c>
      <c r="B258" s="111" t="s">
        <v>378</v>
      </c>
      <c r="C258" s="60"/>
      <c r="D258" s="131"/>
      <c r="E258" s="393"/>
      <c r="F258" s="591"/>
    </row>
    <row r="259" spans="1:6" ht="15" customHeight="1" x14ac:dyDescent="0.3">
      <c r="A259" s="64" t="s">
        <v>59</v>
      </c>
      <c r="B259" s="127" t="s">
        <v>379</v>
      </c>
      <c r="C259" s="60"/>
      <c r="D259" s="131"/>
      <c r="E259" s="393"/>
      <c r="F259" s="591"/>
    </row>
    <row r="260" spans="1:6" ht="15" customHeight="1" x14ac:dyDescent="0.3">
      <c r="A260" s="65" t="s">
        <v>380</v>
      </c>
      <c r="B260" s="113" t="s">
        <v>383</v>
      </c>
      <c r="C260" s="163" t="s">
        <v>131</v>
      </c>
      <c r="D260" s="131">
        <f>+D70+2*6.4*0.6</f>
        <v>187.96600000000001</v>
      </c>
      <c r="E260" s="393"/>
      <c r="F260" s="591"/>
    </row>
    <row r="261" spans="1:6" ht="15" customHeight="1" x14ac:dyDescent="0.3">
      <c r="A261" s="64" t="s">
        <v>60</v>
      </c>
      <c r="B261" s="127" t="s">
        <v>382</v>
      </c>
      <c r="C261" s="60"/>
      <c r="D261" s="131"/>
      <c r="E261" s="393"/>
      <c r="F261" s="591"/>
    </row>
    <row r="262" spans="1:6" ht="15" customHeight="1" x14ac:dyDescent="0.3">
      <c r="A262" s="65" t="s">
        <v>569</v>
      </c>
      <c r="B262" s="113" t="s">
        <v>384</v>
      </c>
      <c r="C262" s="163" t="s">
        <v>131</v>
      </c>
      <c r="D262" s="131">
        <f>+D69</f>
        <v>97.83</v>
      </c>
      <c r="E262" s="393"/>
      <c r="F262" s="591"/>
    </row>
    <row r="263" spans="1:6" ht="15" customHeight="1" x14ac:dyDescent="0.3">
      <c r="A263" s="64" t="s">
        <v>43</v>
      </c>
      <c r="B263" s="111" t="s">
        <v>385</v>
      </c>
      <c r="C263" s="60"/>
      <c r="D263" s="131"/>
      <c r="E263" s="393"/>
      <c r="F263" s="591"/>
    </row>
    <row r="264" spans="1:6" ht="15" customHeight="1" x14ac:dyDescent="0.3">
      <c r="A264" s="64" t="s">
        <v>61</v>
      </c>
      <c r="B264" s="127" t="s">
        <v>431</v>
      </c>
      <c r="C264" s="60"/>
      <c r="D264" s="131"/>
      <c r="E264" s="393"/>
      <c r="F264" s="591"/>
    </row>
    <row r="265" spans="1:6" ht="15" customHeight="1" x14ac:dyDescent="0.3">
      <c r="A265" s="66" t="s">
        <v>390</v>
      </c>
      <c r="B265" s="69" t="s">
        <v>384</v>
      </c>
      <c r="C265" s="163" t="s">
        <v>131</v>
      </c>
      <c r="D265" s="70">
        <f>2.2*2*(1+2*0.9+2*0.8)+2*(0.03*2*1.14)+0.54*4*0.18*2+2*(0.03*5*2.34)+1.14*4*0.18*5+2*(0.03*2.14)+0.94*4*0.18</f>
        <v>25.885600000000004</v>
      </c>
      <c r="E265" s="383"/>
      <c r="F265" s="591"/>
    </row>
    <row r="266" spans="1:6" ht="15" customHeight="1" x14ac:dyDescent="0.3">
      <c r="A266" s="82" t="s">
        <v>62</v>
      </c>
      <c r="B266" s="130" t="s">
        <v>392</v>
      </c>
      <c r="C266" s="62"/>
      <c r="D266" s="70"/>
      <c r="E266" s="383"/>
      <c r="F266" s="591"/>
    </row>
    <row r="267" spans="1:6" ht="15" customHeight="1" x14ac:dyDescent="0.3">
      <c r="A267" s="66" t="s">
        <v>391</v>
      </c>
      <c r="B267" s="69" t="s">
        <v>383</v>
      </c>
      <c r="C267" s="163" t="s">
        <v>131</v>
      </c>
      <c r="D267" s="70">
        <f>+D247+D249+(4*5.89+2*6.78)*0.3</f>
        <v>76.477999999999994</v>
      </c>
      <c r="E267" s="383"/>
      <c r="F267" s="591"/>
    </row>
    <row r="268" spans="1:6" ht="15" customHeight="1" x14ac:dyDescent="0.3">
      <c r="A268" s="64" t="s">
        <v>63</v>
      </c>
      <c r="B268" s="127" t="s">
        <v>388</v>
      </c>
      <c r="C268" s="60"/>
      <c r="D268" s="131"/>
      <c r="E268" s="393"/>
      <c r="F268" s="591"/>
    </row>
    <row r="269" spans="1:6" ht="15" customHeight="1" x14ac:dyDescent="0.3">
      <c r="A269" s="65" t="s">
        <v>394</v>
      </c>
      <c r="B269" s="69" t="s">
        <v>683</v>
      </c>
      <c r="C269" s="163" t="s">
        <v>131</v>
      </c>
      <c r="D269" s="131">
        <f>+D97+D98+D99</f>
        <v>12.759999999999998</v>
      </c>
      <c r="E269" s="393"/>
      <c r="F269" s="591"/>
    </row>
    <row r="270" spans="1:6" ht="15" customHeight="1" x14ac:dyDescent="0.3">
      <c r="A270" s="65" t="s">
        <v>603</v>
      </c>
      <c r="B270" s="69" t="s">
        <v>686</v>
      </c>
      <c r="C270" s="163" t="s">
        <v>131</v>
      </c>
      <c r="D270" s="392">
        <f>+D269</f>
        <v>12.759999999999998</v>
      </c>
      <c r="E270" s="393"/>
      <c r="F270" s="591"/>
    </row>
    <row r="271" spans="1:6" ht="15" customHeight="1" x14ac:dyDescent="0.3">
      <c r="A271" s="396" t="s">
        <v>487</v>
      </c>
      <c r="B271" s="111" t="s">
        <v>232</v>
      </c>
      <c r="C271" s="60"/>
      <c r="D271" s="392"/>
      <c r="E271" s="393"/>
      <c r="F271" s="591"/>
    </row>
    <row r="272" spans="1:6" ht="24.9" customHeight="1" x14ac:dyDescent="0.3">
      <c r="A272" s="410" t="s">
        <v>488</v>
      </c>
      <c r="B272" s="69" t="s">
        <v>713</v>
      </c>
      <c r="C272" s="62" t="s">
        <v>54</v>
      </c>
      <c r="D272" s="387">
        <v>1</v>
      </c>
      <c r="E272" s="383"/>
      <c r="F272" s="591"/>
    </row>
    <row r="273" spans="1:6" ht="15" customHeight="1" thickBot="1" x14ac:dyDescent="0.35">
      <c r="A273" s="77"/>
      <c r="B273" s="81"/>
      <c r="C273" s="139"/>
      <c r="D273" s="206"/>
      <c r="E273" s="207"/>
      <c r="F273" s="121"/>
    </row>
    <row r="274" spans="1:6" ht="15" customHeight="1" thickBot="1" x14ac:dyDescent="0.35">
      <c r="A274" s="821" t="s">
        <v>395</v>
      </c>
      <c r="B274" s="822"/>
      <c r="C274" s="822"/>
      <c r="D274" s="822"/>
      <c r="E274" s="823"/>
      <c r="F274" s="586"/>
    </row>
    <row r="275" spans="1:6" ht="15" customHeight="1" x14ac:dyDescent="0.3">
      <c r="A275" s="140"/>
      <c r="B275" s="141"/>
      <c r="C275" s="141"/>
      <c r="D275" s="141"/>
      <c r="E275" s="141"/>
      <c r="F275" s="596"/>
    </row>
    <row r="276" spans="1:6" ht="15" customHeight="1" x14ac:dyDescent="0.3">
      <c r="A276" s="58" t="s">
        <v>396</v>
      </c>
      <c r="B276" s="99" t="s">
        <v>397</v>
      </c>
      <c r="C276" s="60"/>
      <c r="D276" s="131"/>
      <c r="E276" s="51"/>
      <c r="F276" s="89"/>
    </row>
    <row r="277" spans="1:6" ht="15" customHeight="1" x14ac:dyDescent="0.3">
      <c r="A277" s="64"/>
      <c r="B277" s="111"/>
      <c r="C277" s="60"/>
      <c r="D277" s="218"/>
      <c r="E277" s="80"/>
      <c r="F277" s="119"/>
    </row>
    <row r="278" spans="1:6" ht="15" customHeight="1" x14ac:dyDescent="0.3">
      <c r="A278" s="64" t="s">
        <v>400</v>
      </c>
      <c r="B278" s="111" t="s">
        <v>398</v>
      </c>
      <c r="C278" s="60" t="s">
        <v>6</v>
      </c>
      <c r="D278" s="131"/>
      <c r="E278" s="80"/>
      <c r="F278" s="119"/>
    </row>
    <row r="279" spans="1:6" ht="15" customHeight="1" x14ac:dyDescent="0.3">
      <c r="A279" s="64" t="s">
        <v>401</v>
      </c>
      <c r="B279" s="127" t="s">
        <v>399</v>
      </c>
      <c r="C279" s="60"/>
      <c r="D279" s="131"/>
      <c r="E279" s="80"/>
      <c r="F279" s="119"/>
    </row>
    <row r="280" spans="1:6" ht="24.9" customHeight="1" x14ac:dyDescent="0.3">
      <c r="A280" s="66" t="s">
        <v>402</v>
      </c>
      <c r="B280" s="69" t="s">
        <v>725</v>
      </c>
      <c r="C280" s="163" t="s">
        <v>137</v>
      </c>
      <c r="D280" s="70">
        <f>0.15*0.1*12*6.78</f>
        <v>1.2203999999999999</v>
      </c>
      <c r="E280" s="383"/>
      <c r="F280" s="591"/>
    </row>
    <row r="281" spans="1:6" ht="24.9" customHeight="1" x14ac:dyDescent="0.3">
      <c r="A281" s="65" t="s">
        <v>403</v>
      </c>
      <c r="B281" s="69" t="s">
        <v>716</v>
      </c>
      <c r="C281" s="62" t="s">
        <v>15</v>
      </c>
      <c r="D281" s="70">
        <f>4*5.89+2*6.78</f>
        <v>37.119999999999997</v>
      </c>
      <c r="E281" s="383"/>
      <c r="F281" s="591"/>
    </row>
    <row r="282" spans="1:6" ht="15" customHeight="1" thickBot="1" x14ac:dyDescent="0.35">
      <c r="A282" s="68"/>
      <c r="B282" s="132"/>
      <c r="C282" s="142"/>
      <c r="D282" s="221"/>
      <c r="E282" s="222"/>
      <c r="F282" s="143"/>
    </row>
    <row r="283" spans="1:6" ht="15" customHeight="1" thickBot="1" x14ac:dyDescent="0.35">
      <c r="A283" s="821" t="s">
        <v>404</v>
      </c>
      <c r="B283" s="822"/>
      <c r="C283" s="822"/>
      <c r="D283" s="822"/>
      <c r="E283" s="823"/>
      <c r="F283" s="586"/>
    </row>
    <row r="284" spans="1:6" ht="15" customHeight="1" x14ac:dyDescent="0.3">
      <c r="A284" s="140"/>
      <c r="B284" s="141"/>
      <c r="C284" s="141"/>
      <c r="D284" s="141"/>
      <c r="E284" s="141"/>
      <c r="F284" s="118"/>
    </row>
    <row r="285" spans="1:6" ht="15" customHeight="1" x14ac:dyDescent="0.3">
      <c r="A285" s="58" t="s">
        <v>405</v>
      </c>
      <c r="B285" s="99" t="s">
        <v>408</v>
      </c>
      <c r="C285" s="60"/>
      <c r="D285" s="131"/>
      <c r="E285" s="615"/>
      <c r="F285" s="614"/>
    </row>
    <row r="286" spans="1:6" ht="15" customHeight="1" x14ac:dyDescent="0.3">
      <c r="A286" s="64"/>
      <c r="B286" s="111"/>
      <c r="C286" s="60"/>
      <c r="D286" s="218"/>
      <c r="E286" s="80"/>
      <c r="F286" s="119"/>
    </row>
    <row r="287" spans="1:6" ht="15" customHeight="1" x14ac:dyDescent="0.3">
      <c r="A287" s="64" t="s">
        <v>46</v>
      </c>
      <c r="B287" s="111" t="s">
        <v>409</v>
      </c>
      <c r="C287" s="60" t="s">
        <v>6</v>
      </c>
      <c r="D287" s="131"/>
      <c r="E287" s="80"/>
      <c r="F287" s="119"/>
    </row>
    <row r="288" spans="1:6" ht="15" customHeight="1" x14ac:dyDescent="0.3">
      <c r="A288" s="64" t="s">
        <v>55</v>
      </c>
      <c r="B288" s="127" t="s">
        <v>538</v>
      </c>
      <c r="C288" s="60"/>
      <c r="D288" s="131"/>
      <c r="E288" s="80"/>
      <c r="F288" s="119"/>
    </row>
    <row r="289" spans="1:6" ht="15" customHeight="1" x14ac:dyDescent="0.3">
      <c r="A289" s="66" t="s">
        <v>406</v>
      </c>
      <c r="B289" s="69" t="s">
        <v>433</v>
      </c>
      <c r="C289" s="163" t="s">
        <v>131</v>
      </c>
      <c r="D289" s="70">
        <f>2*(6.1*6.78)</f>
        <v>82.715999999999994</v>
      </c>
      <c r="E289" s="383"/>
      <c r="F289" s="591"/>
    </row>
    <row r="290" spans="1:6" ht="15" customHeight="1" x14ac:dyDescent="0.3">
      <c r="A290" s="65" t="s">
        <v>407</v>
      </c>
      <c r="B290" s="69" t="s">
        <v>434</v>
      </c>
      <c r="C290" s="62" t="s">
        <v>15</v>
      </c>
      <c r="D290" s="70">
        <v>6.78</v>
      </c>
      <c r="E290" s="383"/>
      <c r="F290" s="591"/>
    </row>
    <row r="291" spans="1:6" ht="15" customHeight="1" thickBot="1" x14ac:dyDescent="0.35">
      <c r="A291" s="68"/>
      <c r="B291" s="132"/>
      <c r="C291" s="142"/>
      <c r="D291" s="221"/>
      <c r="E291" s="222"/>
      <c r="F291" s="143"/>
    </row>
    <row r="292" spans="1:6" ht="15" customHeight="1" thickBot="1" x14ac:dyDescent="0.35">
      <c r="A292" s="821" t="s">
        <v>410</v>
      </c>
      <c r="B292" s="822"/>
      <c r="C292" s="822"/>
      <c r="D292" s="822"/>
      <c r="E292" s="823"/>
      <c r="F292" s="586"/>
    </row>
    <row r="293" spans="1:6" ht="15" customHeight="1" thickBot="1" x14ac:dyDescent="0.35">
      <c r="A293" s="703"/>
      <c r="B293" s="720"/>
      <c r="C293" s="67"/>
      <c r="D293" s="721"/>
      <c r="E293" s="722"/>
      <c r="F293" s="723"/>
    </row>
    <row r="294" spans="1:6" ht="24.9" customHeight="1" thickTop="1" thickBot="1" x14ac:dyDescent="0.35">
      <c r="A294" s="907" t="s">
        <v>689</v>
      </c>
      <c r="B294" s="908"/>
      <c r="C294" s="908"/>
      <c r="D294" s="909"/>
      <c r="E294" s="910"/>
      <c r="F294" s="911"/>
    </row>
    <row r="295" spans="1:6" ht="15" customHeight="1" thickTop="1" x14ac:dyDescent="0.3">
      <c r="A295" s="22"/>
      <c r="B295" s="1"/>
      <c r="C295" s="1"/>
      <c r="D295" s="1"/>
      <c r="E295" s="1"/>
      <c r="F295" s="1"/>
    </row>
    <row r="296" spans="1:6" ht="15" customHeight="1" x14ac:dyDescent="0.3">
      <c r="A296" s="22"/>
      <c r="B296" s="1"/>
      <c r="C296" s="1"/>
      <c r="D296" s="1"/>
      <c r="E296" s="1"/>
      <c r="F296" s="1"/>
    </row>
    <row r="297" spans="1:6" x14ac:dyDescent="0.3">
      <c r="A297" s="479"/>
      <c r="B297" s="479"/>
      <c r="C297" s="479"/>
      <c r="D297" s="479"/>
      <c r="E297" s="479"/>
      <c r="F297" s="479"/>
    </row>
    <row r="303" spans="1:6" ht="15" thickBot="1" x14ac:dyDescent="0.35"/>
    <row r="304" spans="1:6" ht="33" customHeight="1" x14ac:dyDescent="0.3">
      <c r="A304" s="775" t="s">
        <v>715</v>
      </c>
      <c r="B304" s="776"/>
      <c r="C304" s="776"/>
      <c r="D304" s="776"/>
      <c r="E304" s="776"/>
      <c r="F304" s="777"/>
    </row>
    <row r="305" spans="1:6" ht="15" thickBot="1" x14ac:dyDescent="0.35">
      <c r="A305" s="149"/>
      <c r="B305" s="150"/>
      <c r="C305" s="150"/>
      <c r="D305" s="150"/>
      <c r="E305" s="150"/>
      <c r="F305" s="151"/>
    </row>
    <row r="306" spans="1:6" ht="24.9" customHeight="1" thickTop="1" thickBot="1" x14ac:dyDescent="0.35">
      <c r="A306" s="153" t="s">
        <v>38</v>
      </c>
      <c r="B306" s="778" t="s">
        <v>39</v>
      </c>
      <c r="C306" s="778"/>
      <c r="D306" s="778"/>
      <c r="E306" s="778" t="s">
        <v>411</v>
      </c>
      <c r="F306" s="787"/>
    </row>
    <row r="307" spans="1:6" ht="16.2" thickTop="1" x14ac:dyDescent="0.3">
      <c r="A307" s="152"/>
      <c r="B307" s="779"/>
      <c r="C307" s="779"/>
      <c r="D307" s="779"/>
      <c r="E307" s="788"/>
      <c r="F307" s="789"/>
    </row>
    <row r="308" spans="1:6" x14ac:dyDescent="0.3">
      <c r="A308" s="224" t="s">
        <v>143</v>
      </c>
      <c r="B308" s="773" t="s">
        <v>95</v>
      </c>
      <c r="C308" s="773"/>
      <c r="D308" s="773"/>
      <c r="E308" s="780"/>
      <c r="F308" s="781"/>
    </row>
    <row r="309" spans="1:6" x14ac:dyDescent="0.3">
      <c r="A309" s="225" t="s">
        <v>144</v>
      </c>
      <c r="B309" s="774" t="s">
        <v>100</v>
      </c>
      <c r="C309" s="774"/>
      <c r="D309" s="774"/>
      <c r="E309" s="780"/>
      <c r="F309" s="781"/>
    </row>
    <row r="310" spans="1:6" x14ac:dyDescent="0.3">
      <c r="A310" s="226" t="s">
        <v>136</v>
      </c>
      <c r="B310" s="792" t="s">
        <v>103</v>
      </c>
      <c r="C310" s="793"/>
      <c r="D310" s="794"/>
      <c r="E310" s="795"/>
      <c r="F310" s="796"/>
    </row>
    <row r="311" spans="1:6" x14ac:dyDescent="0.3">
      <c r="A311" s="226" t="s">
        <v>176</v>
      </c>
      <c r="B311" s="792" t="s">
        <v>177</v>
      </c>
      <c r="C311" s="793"/>
      <c r="D311" s="794"/>
      <c r="E311" s="795"/>
      <c r="F311" s="796"/>
    </row>
    <row r="312" spans="1:6" x14ac:dyDescent="0.3">
      <c r="A312" s="226" t="s">
        <v>182</v>
      </c>
      <c r="B312" s="792" t="s">
        <v>656</v>
      </c>
      <c r="C312" s="793"/>
      <c r="D312" s="794"/>
      <c r="E312" s="795"/>
      <c r="F312" s="796"/>
    </row>
    <row r="313" spans="1:6" x14ac:dyDescent="0.3">
      <c r="A313" s="226" t="s">
        <v>183</v>
      </c>
      <c r="B313" s="792" t="s">
        <v>184</v>
      </c>
      <c r="C313" s="793"/>
      <c r="D313" s="794"/>
      <c r="E313" s="795"/>
      <c r="F313" s="796"/>
    </row>
    <row r="314" spans="1:6" x14ac:dyDescent="0.3">
      <c r="A314" s="226" t="s">
        <v>195</v>
      </c>
      <c r="B314" s="792" t="s">
        <v>196</v>
      </c>
      <c r="C314" s="793"/>
      <c r="D314" s="794"/>
      <c r="E314" s="795"/>
      <c r="F314" s="796"/>
    </row>
    <row r="315" spans="1:6" x14ac:dyDescent="0.3">
      <c r="A315" s="226" t="s">
        <v>226</v>
      </c>
      <c r="B315" s="792" t="s">
        <v>227</v>
      </c>
      <c r="C315" s="793"/>
      <c r="D315" s="794"/>
      <c r="E315" s="795"/>
      <c r="F315" s="796"/>
    </row>
    <row r="316" spans="1:6" x14ac:dyDescent="0.3">
      <c r="A316" s="226" t="s">
        <v>249</v>
      </c>
      <c r="B316" s="792" t="s">
        <v>250</v>
      </c>
      <c r="C316" s="793"/>
      <c r="D316" s="794"/>
      <c r="E316" s="795"/>
      <c r="F316" s="796"/>
    </row>
    <row r="317" spans="1:6" x14ac:dyDescent="0.3">
      <c r="A317" s="226" t="s">
        <v>292</v>
      </c>
      <c r="B317" s="792" t="s">
        <v>293</v>
      </c>
      <c r="C317" s="793"/>
      <c r="D317" s="794"/>
      <c r="E317" s="795"/>
      <c r="F317" s="796"/>
    </row>
    <row r="318" spans="1:6" x14ac:dyDescent="0.3">
      <c r="A318" s="226" t="s">
        <v>309</v>
      </c>
      <c r="B318" s="792" t="s">
        <v>310</v>
      </c>
      <c r="C318" s="793"/>
      <c r="D318" s="794"/>
      <c r="E318" s="795"/>
      <c r="F318" s="796"/>
    </row>
    <row r="319" spans="1:6" x14ac:dyDescent="0.3">
      <c r="A319" s="226" t="s">
        <v>327</v>
      </c>
      <c r="B319" s="792" t="s">
        <v>328</v>
      </c>
      <c r="C319" s="793"/>
      <c r="D319" s="794"/>
      <c r="E319" s="795"/>
      <c r="F319" s="796"/>
    </row>
    <row r="320" spans="1:6" x14ac:dyDescent="0.3">
      <c r="A320" s="226" t="s">
        <v>334</v>
      </c>
      <c r="B320" s="792" t="s">
        <v>335</v>
      </c>
      <c r="C320" s="793"/>
      <c r="D320" s="794"/>
      <c r="E320" s="795"/>
      <c r="F320" s="796"/>
    </row>
    <row r="321" spans="1:6" x14ac:dyDescent="0.3">
      <c r="A321" s="226" t="s">
        <v>349</v>
      </c>
      <c r="B321" s="792" t="s">
        <v>350</v>
      </c>
      <c r="C321" s="793"/>
      <c r="D321" s="794"/>
      <c r="E321" s="795"/>
      <c r="F321" s="796"/>
    </row>
    <row r="322" spans="1:6" x14ac:dyDescent="0.3">
      <c r="A322" s="226" t="s">
        <v>367</v>
      </c>
      <c r="B322" s="792" t="s">
        <v>368</v>
      </c>
      <c r="C322" s="793"/>
      <c r="D322" s="794"/>
      <c r="E322" s="795"/>
      <c r="F322" s="796"/>
    </row>
    <row r="323" spans="1:6" x14ac:dyDescent="0.3">
      <c r="A323" s="226" t="s">
        <v>372</v>
      </c>
      <c r="B323" s="792" t="s">
        <v>373</v>
      </c>
      <c r="C323" s="793"/>
      <c r="D323" s="794"/>
      <c r="E323" s="795"/>
      <c r="F323" s="796"/>
    </row>
    <row r="324" spans="1:6" x14ac:dyDescent="0.3">
      <c r="A324" s="226" t="s">
        <v>396</v>
      </c>
      <c r="B324" s="792" t="s">
        <v>397</v>
      </c>
      <c r="C324" s="793"/>
      <c r="D324" s="794"/>
      <c r="E324" s="795"/>
      <c r="F324" s="796"/>
    </row>
    <row r="325" spans="1:6" x14ac:dyDescent="0.3">
      <c r="A325" s="226" t="s">
        <v>405</v>
      </c>
      <c r="B325" s="792" t="s">
        <v>408</v>
      </c>
      <c r="C325" s="793"/>
      <c r="D325" s="794"/>
      <c r="E325" s="795"/>
      <c r="F325" s="796"/>
    </row>
    <row r="326" spans="1:6" ht="16.2" thickBot="1" x14ac:dyDescent="0.35">
      <c r="A326" s="159"/>
      <c r="B326" s="797"/>
      <c r="C326" s="798"/>
      <c r="D326" s="799"/>
      <c r="E326" s="790"/>
      <c r="F326" s="791"/>
    </row>
    <row r="327" spans="1:6" ht="24.9" customHeight="1" thickTop="1" thickBot="1" x14ac:dyDescent="0.35">
      <c r="A327" s="782" t="s">
        <v>689</v>
      </c>
      <c r="B327" s="783"/>
      <c r="C327" s="783"/>
      <c r="D327" s="784"/>
      <c r="E327" s="785"/>
      <c r="F327" s="786"/>
    </row>
    <row r="328" spans="1:6" ht="15" thickTop="1" x14ac:dyDescent="0.3"/>
  </sheetData>
  <mergeCells count="69">
    <mergeCell ref="E316:F316"/>
    <mergeCell ref="B313:D313"/>
    <mergeCell ref="E313:F313"/>
    <mergeCell ref="B314:D314"/>
    <mergeCell ref="E314:F314"/>
    <mergeCell ref="B315:D315"/>
    <mergeCell ref="E315:F315"/>
    <mergeCell ref="B316:D316"/>
    <mergeCell ref="A129:E129"/>
    <mergeCell ref="A292:E292"/>
    <mergeCell ref="A294:D294"/>
    <mergeCell ref="E294:F294"/>
    <mergeCell ref="A304:F304"/>
    <mergeCell ref="A145:E145"/>
    <mergeCell ref="A179:E179"/>
    <mergeCell ref="A191:E191"/>
    <mergeCell ref="A205:E205"/>
    <mergeCell ref="A213:E213"/>
    <mergeCell ref="A226:E226"/>
    <mergeCell ref="A242:E242"/>
    <mergeCell ref="A251:E251"/>
    <mergeCell ref="A274:E274"/>
    <mergeCell ref="A283:E283"/>
    <mergeCell ref="A2:F2"/>
    <mergeCell ref="A3:F3"/>
    <mergeCell ref="A13:E13"/>
    <mergeCell ref="A27:E27"/>
    <mergeCell ref="A50:E50"/>
    <mergeCell ref="B317:D317"/>
    <mergeCell ref="E317:F317"/>
    <mergeCell ref="B306:D306"/>
    <mergeCell ref="E306:F306"/>
    <mergeCell ref="B307:D307"/>
    <mergeCell ref="E307:F307"/>
    <mergeCell ref="B308:D308"/>
    <mergeCell ref="E308:F308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8:D318"/>
    <mergeCell ref="E318:F318"/>
    <mergeCell ref="B319:D319"/>
    <mergeCell ref="E319:F319"/>
    <mergeCell ref="E320:F320"/>
    <mergeCell ref="B320:D320"/>
    <mergeCell ref="A75:E75"/>
    <mergeCell ref="A77:E77"/>
    <mergeCell ref="A85:E85"/>
    <mergeCell ref="A92:E92"/>
    <mergeCell ref="A101:E101"/>
    <mergeCell ref="B321:D321"/>
    <mergeCell ref="E321:F321"/>
    <mergeCell ref="B322:D322"/>
    <mergeCell ref="E322:F322"/>
    <mergeCell ref="B323:D323"/>
    <mergeCell ref="E323:F323"/>
    <mergeCell ref="A327:D327"/>
    <mergeCell ref="E327:F327"/>
    <mergeCell ref="B324:D324"/>
    <mergeCell ref="E324:F324"/>
    <mergeCell ref="B325:D325"/>
    <mergeCell ref="E325:F325"/>
    <mergeCell ref="B326:D326"/>
    <mergeCell ref="E326:F32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329"/>
  <sheetViews>
    <sheetView topLeftCell="A309" workbookViewId="0">
      <selection activeCell="E309" sqref="E309:F328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766" t="s">
        <v>492</v>
      </c>
      <c r="B2" s="766"/>
      <c r="C2" s="766"/>
      <c r="D2" s="766"/>
      <c r="E2" s="766"/>
      <c r="F2" s="766"/>
    </row>
    <row r="3" spans="1:6" ht="15.6" x14ac:dyDescent="0.3">
      <c r="A3" s="766" t="s">
        <v>497</v>
      </c>
      <c r="B3" s="766"/>
      <c r="C3" s="766"/>
      <c r="D3" s="766"/>
      <c r="E3" s="766"/>
      <c r="F3" s="766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ht="15" customHeight="1" x14ac:dyDescent="0.3">
      <c r="A9" s="42" t="s">
        <v>96</v>
      </c>
      <c r="B9" s="91" t="s">
        <v>88</v>
      </c>
      <c r="C9" s="50"/>
      <c r="D9" s="92"/>
      <c r="E9" s="51"/>
      <c r="F9" s="93"/>
    </row>
    <row r="10" spans="1:6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602"/>
      <c r="F10" s="603"/>
    </row>
    <row r="11" spans="1:6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602"/>
      <c r="F11" s="603"/>
    </row>
    <row r="12" spans="1:6" ht="15" customHeight="1" thickBot="1" x14ac:dyDescent="0.35">
      <c r="A12" s="42"/>
      <c r="B12" s="95"/>
      <c r="C12" s="50"/>
      <c r="D12" s="92"/>
      <c r="E12" s="587"/>
      <c r="F12" s="585"/>
    </row>
    <row r="13" spans="1:6" ht="15" customHeight="1" thickBot="1" x14ac:dyDescent="0.35">
      <c r="A13" s="821" t="s">
        <v>189</v>
      </c>
      <c r="B13" s="822"/>
      <c r="C13" s="822"/>
      <c r="D13" s="822"/>
      <c r="E13" s="823"/>
      <c r="F13" s="586"/>
    </row>
    <row r="14" spans="1:6" ht="15" customHeight="1" x14ac:dyDescent="0.3">
      <c r="A14" s="42"/>
      <c r="B14" s="95"/>
      <c r="C14" s="50"/>
      <c r="D14" s="92"/>
      <c r="E14" s="51"/>
      <c r="F14" s="93"/>
    </row>
    <row r="15" spans="1:6" ht="15" customHeight="1" x14ac:dyDescent="0.3">
      <c r="A15" s="57" t="s">
        <v>144</v>
      </c>
      <c r="B15" s="96" t="s">
        <v>100</v>
      </c>
      <c r="C15" s="50"/>
      <c r="D15" s="164"/>
      <c r="E15" s="51"/>
      <c r="F15" s="93"/>
    </row>
    <row r="16" spans="1:6" s="730" customFormat="1" ht="15" customHeight="1" x14ac:dyDescent="0.3">
      <c r="A16" s="42"/>
      <c r="B16" s="729"/>
      <c r="C16" s="50"/>
      <c r="D16" s="164"/>
      <c r="E16" s="51"/>
      <c r="F16" s="93"/>
    </row>
    <row r="17" spans="1:10" s="613" customFormat="1" ht="15" customHeight="1" x14ac:dyDescent="0.3">
      <c r="A17" s="42" t="s">
        <v>101</v>
      </c>
      <c r="B17" s="97" t="s">
        <v>540</v>
      </c>
      <c r="C17" s="50"/>
      <c r="D17" s="164"/>
      <c r="E17" s="51"/>
      <c r="F17" s="93"/>
    </row>
    <row r="18" spans="1:10" s="613" customFormat="1" ht="15" customHeight="1" x14ac:dyDescent="0.3">
      <c r="A18" s="481" t="s">
        <v>102</v>
      </c>
      <c r="B18" s="94" t="s">
        <v>541</v>
      </c>
      <c r="C18" s="161" t="s">
        <v>18</v>
      </c>
      <c r="D18" s="164">
        <v>4</v>
      </c>
      <c r="E18" s="602"/>
      <c r="F18" s="603"/>
    </row>
    <row r="19" spans="1:10" s="613" customFormat="1" ht="15" customHeight="1" x14ac:dyDescent="0.3">
      <c r="A19" s="481" t="s">
        <v>543</v>
      </c>
      <c r="B19" s="94" t="s">
        <v>544</v>
      </c>
      <c r="C19" s="161" t="s">
        <v>412</v>
      </c>
      <c r="D19" s="164">
        <f>15.74*11</f>
        <v>173.14000000000001</v>
      </c>
      <c r="E19" s="602"/>
      <c r="F19" s="603"/>
    </row>
    <row r="20" spans="1:10" s="613" customFormat="1" ht="15" customHeight="1" x14ac:dyDescent="0.3">
      <c r="A20" s="481" t="s">
        <v>472</v>
      </c>
      <c r="B20" s="94" t="s">
        <v>652</v>
      </c>
      <c r="C20" s="161" t="s">
        <v>412</v>
      </c>
      <c r="D20" s="164">
        <v>64.41</v>
      </c>
      <c r="E20" s="602"/>
      <c r="F20" s="603"/>
    </row>
    <row r="21" spans="1:10" ht="15" customHeight="1" x14ac:dyDescent="0.3">
      <c r="A21" s="44" t="s">
        <v>105</v>
      </c>
      <c r="B21" s="97" t="s">
        <v>110</v>
      </c>
      <c r="C21" s="162"/>
      <c r="D21" s="164"/>
      <c r="E21" s="51"/>
      <c r="F21" s="93"/>
    </row>
    <row r="22" spans="1:10" s="479" customFormat="1" ht="15" customHeight="1" x14ac:dyDescent="0.3">
      <c r="A22" s="43" t="s">
        <v>109</v>
      </c>
      <c r="B22" s="94" t="s">
        <v>106</v>
      </c>
      <c r="C22" s="161" t="s">
        <v>413</v>
      </c>
      <c r="D22" s="164">
        <f>+(6*4+1.1*2+4.06+3.18*2+2.68*2+0.78+3.72+3.18)*0.8</f>
        <v>39.728000000000002</v>
      </c>
      <c r="E22" s="602"/>
      <c r="F22" s="585"/>
      <c r="H22" s="479" t="s">
        <v>719</v>
      </c>
      <c r="J22" s="479">
        <v>4</v>
      </c>
    </row>
    <row r="23" spans="1:10" ht="15" customHeight="1" x14ac:dyDescent="0.3">
      <c r="A23" s="44" t="s">
        <v>546</v>
      </c>
      <c r="B23" s="97" t="s">
        <v>111</v>
      </c>
      <c r="C23" s="162"/>
      <c r="D23" s="164"/>
      <c r="E23" s="602"/>
      <c r="F23" s="585"/>
      <c r="H23" t="s">
        <v>720</v>
      </c>
      <c r="J23">
        <v>64.41</v>
      </c>
    </row>
    <row r="24" spans="1:10" ht="15" customHeight="1" x14ac:dyDescent="0.3">
      <c r="A24" s="43" t="s">
        <v>547</v>
      </c>
      <c r="B24" s="94" t="s">
        <v>107</v>
      </c>
      <c r="C24" s="161" t="s">
        <v>413</v>
      </c>
      <c r="D24" s="164">
        <f>+D22-49.66*0.3</f>
        <v>24.830000000000005</v>
      </c>
      <c r="E24" s="602"/>
      <c r="F24" s="585"/>
    </row>
    <row r="25" spans="1:10" ht="15" customHeight="1" x14ac:dyDescent="0.3">
      <c r="A25" s="43" t="s">
        <v>548</v>
      </c>
      <c r="B25" s="94" t="s">
        <v>112</v>
      </c>
      <c r="C25" s="161" t="s">
        <v>413</v>
      </c>
      <c r="D25" s="164">
        <f>57.08*0.3</f>
        <v>17.123999999999999</v>
      </c>
      <c r="E25" s="602"/>
      <c r="F25" s="585"/>
    </row>
    <row r="26" spans="1:10" ht="15" customHeight="1" x14ac:dyDescent="0.3">
      <c r="A26" s="43" t="s">
        <v>549</v>
      </c>
      <c r="B26" s="94" t="s">
        <v>108</v>
      </c>
      <c r="C26" s="161" t="s">
        <v>412</v>
      </c>
      <c r="D26" s="164">
        <v>57.08</v>
      </c>
      <c r="E26" s="602"/>
      <c r="F26" s="585"/>
    </row>
    <row r="27" spans="1:10" ht="15" customHeight="1" thickBot="1" x14ac:dyDescent="0.35">
      <c r="A27" s="43"/>
      <c r="B27" s="94"/>
      <c r="C27" s="50"/>
      <c r="D27" s="164"/>
      <c r="E27" s="51"/>
      <c r="F27" s="93"/>
    </row>
    <row r="28" spans="1:10" ht="15" customHeight="1" thickBot="1" x14ac:dyDescent="0.35">
      <c r="A28" s="821" t="s">
        <v>190</v>
      </c>
      <c r="B28" s="822"/>
      <c r="C28" s="822"/>
      <c r="D28" s="822"/>
      <c r="E28" s="823"/>
      <c r="F28" s="586"/>
    </row>
    <row r="29" spans="1:10" ht="15" customHeight="1" x14ac:dyDescent="0.3">
      <c r="A29" s="42"/>
      <c r="B29" s="95"/>
      <c r="C29" s="50"/>
      <c r="D29" s="92"/>
      <c r="E29" s="51"/>
      <c r="F29" s="89"/>
    </row>
    <row r="30" spans="1:10" ht="15" customHeight="1" x14ac:dyDescent="0.3">
      <c r="A30" s="58" t="s">
        <v>136</v>
      </c>
      <c r="B30" s="99" t="s">
        <v>103</v>
      </c>
      <c r="C30" s="60"/>
      <c r="D30" s="131"/>
      <c r="E30" s="51"/>
      <c r="F30" s="89"/>
    </row>
    <row r="31" spans="1:10" ht="15" customHeight="1" x14ac:dyDescent="0.3">
      <c r="A31" s="54"/>
      <c r="B31" s="687"/>
      <c r="C31" s="60"/>
      <c r="D31" s="131"/>
      <c r="E31" s="51"/>
      <c r="F31" s="89"/>
    </row>
    <row r="32" spans="1:10" ht="15" customHeight="1" x14ac:dyDescent="0.3">
      <c r="A32" s="147" t="s">
        <v>4</v>
      </c>
      <c r="B32" s="175" t="s">
        <v>113</v>
      </c>
      <c r="C32" s="176"/>
      <c r="D32" s="177"/>
      <c r="E32" s="178"/>
      <c r="F32" s="101"/>
    </row>
    <row r="33" spans="1:6" ht="15" customHeight="1" x14ac:dyDescent="0.3">
      <c r="A33" s="147" t="s">
        <v>5</v>
      </c>
      <c r="B33" s="179" t="s">
        <v>114</v>
      </c>
      <c r="C33" s="163" t="s">
        <v>137</v>
      </c>
      <c r="D33" s="180">
        <f>49.66*0.05*0.6</f>
        <v>1.4898</v>
      </c>
      <c r="E33" s="181"/>
      <c r="F33" s="106"/>
    </row>
    <row r="34" spans="1:6" ht="15" customHeight="1" x14ac:dyDescent="0.3">
      <c r="A34" s="147" t="s">
        <v>9</v>
      </c>
      <c r="B34" s="179" t="s">
        <v>121</v>
      </c>
      <c r="C34" s="163"/>
      <c r="D34" s="182"/>
      <c r="E34" s="181"/>
      <c r="F34" s="106"/>
    </row>
    <row r="35" spans="1:6" ht="15" customHeight="1" x14ac:dyDescent="0.3">
      <c r="A35" s="148" t="s">
        <v>115</v>
      </c>
      <c r="B35" s="183" t="s">
        <v>138</v>
      </c>
      <c r="C35" s="163" t="s">
        <v>137</v>
      </c>
      <c r="D35" s="180">
        <f>49.66*0.25*0.6</f>
        <v>7.448999999999999</v>
      </c>
      <c r="E35" s="181"/>
      <c r="F35" s="106"/>
    </row>
    <row r="36" spans="1:6" ht="15" customHeight="1" x14ac:dyDescent="0.3">
      <c r="A36" s="148" t="s">
        <v>116</v>
      </c>
      <c r="B36" s="183" t="s">
        <v>657</v>
      </c>
      <c r="C36" s="163" t="s">
        <v>117</v>
      </c>
      <c r="D36" s="180">
        <f>4*49.66*0.394+249*0.76*0.222</f>
        <v>120.27544</v>
      </c>
      <c r="E36" s="181"/>
      <c r="F36" s="106"/>
    </row>
    <row r="37" spans="1:6" ht="15" customHeight="1" x14ac:dyDescent="0.3">
      <c r="A37" s="147" t="s">
        <v>120</v>
      </c>
      <c r="B37" s="179" t="s">
        <v>416</v>
      </c>
      <c r="C37" s="163"/>
      <c r="D37" s="180"/>
      <c r="E37" s="181"/>
      <c r="F37" s="106"/>
    </row>
    <row r="38" spans="1:6" ht="15" customHeight="1" x14ac:dyDescent="0.3">
      <c r="A38" s="148" t="s">
        <v>122</v>
      </c>
      <c r="B38" s="183" t="s">
        <v>138</v>
      </c>
      <c r="C38" s="163" t="s">
        <v>137</v>
      </c>
      <c r="D38" s="180">
        <f>0.8*(12*0.15*0.15+3*0.3*0.15+0.25*0.15+0.3*0.15+0.15*0.15)</f>
        <v>0.40799999999999992</v>
      </c>
      <c r="E38" s="181"/>
      <c r="F38" s="106"/>
    </row>
    <row r="39" spans="1:6" ht="15" customHeight="1" x14ac:dyDescent="0.3">
      <c r="A39" s="148" t="s">
        <v>123</v>
      </c>
      <c r="B39" s="183" t="s">
        <v>657</v>
      </c>
      <c r="C39" s="163" t="s">
        <v>117</v>
      </c>
      <c r="D39" s="184">
        <f>0.8*(12*4*0.616+3*(4*0.616+2*0.394)+4*0.616+2*0.394+6*0.616+2*0.394)</f>
        <v>37.647999999999989</v>
      </c>
      <c r="E39" s="181"/>
      <c r="F39" s="106"/>
    </row>
    <row r="40" spans="1:6" ht="15" customHeight="1" x14ac:dyDescent="0.3">
      <c r="A40" s="148" t="s">
        <v>124</v>
      </c>
      <c r="B40" s="183" t="s">
        <v>118</v>
      </c>
      <c r="C40" s="163" t="s">
        <v>119</v>
      </c>
      <c r="D40" s="180">
        <f>0.8*(23*0.15+3*0.3+2*0.25)*1.1</f>
        <v>4.2679999999999998</v>
      </c>
      <c r="E40" s="181"/>
      <c r="F40" s="106"/>
    </row>
    <row r="41" spans="1:6" ht="15" customHeight="1" x14ac:dyDescent="0.3">
      <c r="A41" s="147" t="s">
        <v>125</v>
      </c>
      <c r="B41" s="179" t="s">
        <v>133</v>
      </c>
      <c r="C41" s="185"/>
      <c r="D41" s="185"/>
      <c r="E41" s="185"/>
      <c r="F41" s="106"/>
    </row>
    <row r="42" spans="1:6" ht="15" customHeight="1" x14ac:dyDescent="0.3">
      <c r="A42" s="148" t="s">
        <v>126</v>
      </c>
      <c r="B42" s="183" t="s">
        <v>139</v>
      </c>
      <c r="C42" s="163" t="s">
        <v>131</v>
      </c>
      <c r="D42" s="180">
        <f>49.66*0.6*1.1</f>
        <v>32.775599999999997</v>
      </c>
      <c r="E42" s="181"/>
      <c r="F42" s="106"/>
    </row>
    <row r="43" spans="1:6" ht="15" customHeight="1" x14ac:dyDescent="0.3">
      <c r="A43" s="147" t="s">
        <v>127</v>
      </c>
      <c r="B43" s="179" t="s">
        <v>140</v>
      </c>
      <c r="C43" s="163"/>
      <c r="D43" s="180"/>
      <c r="E43" s="181"/>
      <c r="F43" s="106"/>
    </row>
    <row r="44" spans="1:6" ht="15" customHeight="1" x14ac:dyDescent="0.3">
      <c r="A44" s="148" t="s">
        <v>128</v>
      </c>
      <c r="B44" s="183" t="s">
        <v>141</v>
      </c>
      <c r="C44" s="163" t="s">
        <v>131</v>
      </c>
      <c r="D44" s="180">
        <v>57.08</v>
      </c>
      <c r="E44" s="181"/>
      <c r="F44" s="106"/>
    </row>
    <row r="45" spans="1:6" ht="15" customHeight="1" x14ac:dyDescent="0.3">
      <c r="A45" s="148" t="s">
        <v>129</v>
      </c>
      <c r="B45" s="183" t="s">
        <v>135</v>
      </c>
      <c r="C45" s="163" t="s">
        <v>131</v>
      </c>
      <c r="D45" s="180">
        <f>+D44</f>
        <v>57.08</v>
      </c>
      <c r="E45" s="181"/>
      <c r="F45" s="106"/>
    </row>
    <row r="46" spans="1:6" ht="15" customHeight="1" x14ac:dyDescent="0.3">
      <c r="A46" s="148" t="s">
        <v>130</v>
      </c>
      <c r="B46" s="183" t="s">
        <v>118</v>
      </c>
      <c r="C46" s="163" t="s">
        <v>131</v>
      </c>
      <c r="D46" s="180">
        <f>49.66*0.2</f>
        <v>9.9320000000000004</v>
      </c>
      <c r="E46" s="181"/>
      <c r="F46" s="106"/>
    </row>
    <row r="47" spans="1:6" ht="15" customHeight="1" x14ac:dyDescent="0.3">
      <c r="A47" s="147" t="s">
        <v>132</v>
      </c>
      <c r="B47" s="179" t="s">
        <v>179</v>
      </c>
      <c r="C47" s="163"/>
      <c r="D47" s="180"/>
      <c r="E47" s="181"/>
      <c r="F47" s="106"/>
    </row>
    <row r="48" spans="1:6" ht="15" customHeight="1" x14ac:dyDescent="0.3">
      <c r="A48" s="148" t="s">
        <v>134</v>
      </c>
      <c r="B48" s="183" t="s">
        <v>180</v>
      </c>
      <c r="C48" s="163" t="s">
        <v>131</v>
      </c>
      <c r="D48" s="180">
        <f>57.08-(2.5+2.5)</f>
        <v>52.08</v>
      </c>
      <c r="E48" s="181"/>
      <c r="F48" s="106"/>
    </row>
    <row r="49" spans="1:6" ht="15" customHeight="1" x14ac:dyDescent="0.3">
      <c r="A49" s="148" t="s">
        <v>660</v>
      </c>
      <c r="B49" s="183" t="s">
        <v>662</v>
      </c>
      <c r="C49" s="163" t="s">
        <v>131</v>
      </c>
      <c r="D49" s="180">
        <f>2.5*2</f>
        <v>5</v>
      </c>
      <c r="E49" s="181"/>
      <c r="F49" s="106"/>
    </row>
    <row r="50" spans="1:6" ht="15" customHeight="1" thickBot="1" x14ac:dyDescent="0.35">
      <c r="A50" s="188"/>
      <c r="B50" s="103"/>
      <c r="C50" s="189"/>
      <c r="D50" s="190"/>
      <c r="E50" s="181"/>
      <c r="F50" s="102"/>
    </row>
    <row r="51" spans="1:6" ht="15" customHeight="1" thickBot="1" x14ac:dyDescent="0.35">
      <c r="A51" s="821" t="s">
        <v>146</v>
      </c>
      <c r="B51" s="822"/>
      <c r="C51" s="822"/>
      <c r="D51" s="822"/>
      <c r="E51" s="823"/>
      <c r="F51" s="609"/>
    </row>
    <row r="52" spans="1:6" ht="15" customHeight="1" x14ac:dyDescent="0.3">
      <c r="A52" s="54"/>
      <c r="B52" s="687"/>
      <c r="C52" s="60"/>
      <c r="D52" s="131"/>
      <c r="E52" s="51"/>
      <c r="F52" s="89"/>
    </row>
    <row r="53" spans="1:6" ht="15" customHeight="1" x14ac:dyDescent="0.3">
      <c r="A53" s="147" t="s">
        <v>10</v>
      </c>
      <c r="B53" s="175" t="s">
        <v>167</v>
      </c>
      <c r="C53" s="176"/>
      <c r="D53" s="191"/>
      <c r="E53" s="192"/>
      <c r="F53" s="104"/>
    </row>
    <row r="54" spans="1:6" ht="15" customHeight="1" x14ac:dyDescent="0.3">
      <c r="A54" s="147" t="s">
        <v>11</v>
      </c>
      <c r="B54" s="179" t="s">
        <v>168</v>
      </c>
      <c r="C54" s="176"/>
      <c r="D54" s="191"/>
      <c r="E54" s="192"/>
      <c r="F54" s="104"/>
    </row>
    <row r="55" spans="1:6" ht="15" customHeight="1" x14ac:dyDescent="0.3">
      <c r="A55" s="148" t="s">
        <v>147</v>
      </c>
      <c r="B55" s="183" t="s">
        <v>138</v>
      </c>
      <c r="C55" s="163" t="s">
        <v>137</v>
      </c>
      <c r="D55" s="182">
        <f>3*0.3*0.15*3+3*(0.15*0.15+0.15*0.1)*3.38+(0.25*0.15+3*0.15*0.15)*4.11+(3*0.15*0.15+0.3*0.15)*3.9+3*(4*0.15*0.15+2*0.15*0.1)+(3.74+4.11+3.6+3.32+3.61+3.9+3.52*2)*0.15*0.1</f>
        <v>2.4553499999999997</v>
      </c>
      <c r="E55" s="187"/>
      <c r="F55" s="105"/>
    </row>
    <row r="56" spans="1:6" ht="15" customHeight="1" x14ac:dyDescent="0.3">
      <c r="A56" s="148" t="s">
        <v>148</v>
      </c>
      <c r="B56" s="183" t="s">
        <v>658</v>
      </c>
      <c r="C56" s="163" t="s">
        <v>84</v>
      </c>
      <c r="D56" s="193">
        <v>248.49</v>
      </c>
      <c r="E56" s="187"/>
      <c r="F56" s="105"/>
    </row>
    <row r="57" spans="1:6" ht="15" customHeight="1" x14ac:dyDescent="0.3">
      <c r="A57" s="148" t="s">
        <v>149</v>
      </c>
      <c r="B57" s="183" t="s">
        <v>118</v>
      </c>
      <c r="C57" s="163" t="s">
        <v>131</v>
      </c>
      <c r="D57" s="182">
        <v>25.62</v>
      </c>
      <c r="E57" s="187"/>
      <c r="F57" s="105"/>
    </row>
    <row r="58" spans="1:6" ht="15" customHeight="1" x14ac:dyDescent="0.3">
      <c r="A58" s="147" t="s">
        <v>12</v>
      </c>
      <c r="B58" s="179" t="s">
        <v>169</v>
      </c>
      <c r="C58" s="163"/>
      <c r="D58" s="182"/>
      <c r="E58" s="187"/>
      <c r="F58" s="105"/>
    </row>
    <row r="59" spans="1:6" ht="15" customHeight="1" x14ac:dyDescent="0.3">
      <c r="A59" s="148" t="s">
        <v>150</v>
      </c>
      <c r="B59" s="183" t="s">
        <v>138</v>
      </c>
      <c r="C59" s="163" t="s">
        <v>137</v>
      </c>
      <c r="D59" s="182">
        <f>49.66*0.2*0.15+5.36*0.2*0.1</f>
        <v>1.597</v>
      </c>
      <c r="E59" s="187"/>
      <c r="F59" s="105"/>
    </row>
    <row r="60" spans="1:6" ht="15" customHeight="1" x14ac:dyDescent="0.3">
      <c r="A60" s="148" t="s">
        <v>151</v>
      </c>
      <c r="B60" s="183" t="s">
        <v>658</v>
      </c>
      <c r="C60" s="163" t="s">
        <v>84</v>
      </c>
      <c r="D60" s="193">
        <v>115.51</v>
      </c>
      <c r="E60" s="187"/>
      <c r="F60" s="105"/>
    </row>
    <row r="61" spans="1:6" ht="15" customHeight="1" x14ac:dyDescent="0.3">
      <c r="A61" s="148" t="s">
        <v>152</v>
      </c>
      <c r="B61" s="183" t="s">
        <v>118</v>
      </c>
      <c r="C61" s="163" t="s">
        <v>131</v>
      </c>
      <c r="D61" s="182">
        <f>+(49.66+5.36)*2*0.2*1.1</f>
        <v>24.2088</v>
      </c>
      <c r="E61" s="187"/>
      <c r="F61" s="105"/>
    </row>
    <row r="62" spans="1:6" ht="15" customHeight="1" x14ac:dyDescent="0.3">
      <c r="A62" s="147" t="s">
        <v>13</v>
      </c>
      <c r="B62" s="179" t="s">
        <v>663</v>
      </c>
      <c r="C62" s="163"/>
      <c r="D62" s="182"/>
      <c r="E62" s="187"/>
      <c r="F62" s="105"/>
    </row>
    <row r="63" spans="1:6" ht="15" customHeight="1" x14ac:dyDescent="0.3">
      <c r="A63" s="148" t="s">
        <v>153</v>
      </c>
      <c r="B63" s="194" t="s">
        <v>138</v>
      </c>
      <c r="C63" s="163" t="s">
        <v>137</v>
      </c>
      <c r="D63" s="182">
        <f>1.68*0.4</f>
        <v>0.67200000000000004</v>
      </c>
      <c r="E63" s="187"/>
      <c r="F63" s="105"/>
    </row>
    <row r="64" spans="1:6" ht="15" customHeight="1" x14ac:dyDescent="0.3">
      <c r="A64" s="148" t="s">
        <v>154</v>
      </c>
      <c r="B64" s="194" t="s">
        <v>658</v>
      </c>
      <c r="C64" s="163" t="s">
        <v>84</v>
      </c>
      <c r="D64" s="193">
        <f>+D63*60</f>
        <v>40.32</v>
      </c>
      <c r="E64" s="187"/>
      <c r="F64" s="105"/>
    </row>
    <row r="65" spans="1:6" ht="15" customHeight="1" x14ac:dyDescent="0.3">
      <c r="A65" s="148" t="s">
        <v>155</v>
      </c>
      <c r="B65" s="194" t="s">
        <v>118</v>
      </c>
      <c r="C65" s="163" t="s">
        <v>131</v>
      </c>
      <c r="D65" s="182">
        <f>0.15*0.35*2+1.68*0.15</f>
        <v>0.35699999999999998</v>
      </c>
      <c r="E65" s="187"/>
      <c r="F65" s="105"/>
    </row>
    <row r="66" spans="1:6" ht="15" customHeight="1" x14ac:dyDescent="0.3">
      <c r="A66" s="147" t="s">
        <v>156</v>
      </c>
      <c r="B66" s="179" t="s">
        <v>164</v>
      </c>
      <c r="C66" s="163"/>
      <c r="D66" s="182"/>
      <c r="E66" s="187"/>
      <c r="F66" s="105"/>
    </row>
    <row r="67" spans="1:6" ht="15" customHeight="1" x14ac:dyDescent="0.3">
      <c r="A67" s="148" t="s">
        <v>157</v>
      </c>
      <c r="B67" s="183" t="s">
        <v>165</v>
      </c>
      <c r="C67" s="163" t="s">
        <v>131</v>
      </c>
      <c r="D67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7" s="195"/>
      <c r="F67" s="105"/>
    </row>
    <row r="68" spans="1:6" ht="15" customHeight="1" x14ac:dyDescent="0.3">
      <c r="A68" s="148" t="s">
        <v>158</v>
      </c>
      <c r="B68" s="183" t="s">
        <v>166</v>
      </c>
      <c r="C68" s="163" t="s">
        <v>131</v>
      </c>
      <c r="D68" s="180">
        <f>+(2.13+0.73+2.4)*3-(2*0.7*2.2)</f>
        <v>12.7</v>
      </c>
      <c r="E68" s="181"/>
      <c r="F68" s="105"/>
    </row>
    <row r="69" spans="1:6" ht="15" customHeight="1" x14ac:dyDescent="0.3">
      <c r="A69" s="147" t="s">
        <v>159</v>
      </c>
      <c r="B69" s="179" t="s">
        <v>173</v>
      </c>
      <c r="C69" s="163"/>
      <c r="D69" s="180"/>
      <c r="E69" s="181"/>
      <c r="F69" s="105"/>
    </row>
    <row r="70" spans="1:6" ht="15" customHeight="1" x14ac:dyDescent="0.3">
      <c r="A70" s="148" t="s">
        <v>160</v>
      </c>
      <c r="B70" s="183" t="s">
        <v>673</v>
      </c>
      <c r="C70" s="163" t="s">
        <v>131</v>
      </c>
      <c r="D70" s="180">
        <f>+((36.87-(2*1.44+0.95+3.31))+(17.19-0.36)+(36.87-(2*1.44+3.31+0.36))+2*(17.19-2*6.8))+17.19-(0.9*2.2+1.44)</f>
        <v>97.83</v>
      </c>
      <c r="E70" s="181"/>
      <c r="F70" s="105"/>
    </row>
    <row r="71" spans="1:6" ht="15" customHeight="1" x14ac:dyDescent="0.3">
      <c r="A71" s="148" t="s">
        <v>161</v>
      </c>
      <c r="B71" s="183" t="s">
        <v>174</v>
      </c>
      <c r="C71" s="163" t="s">
        <v>131</v>
      </c>
      <c r="D71" s="180">
        <f>97.83-2*(17.19-(2*6.8))+2*((13.03-1.98)+(3.72*4.15)+(20.31-1.98))</f>
        <v>180.286</v>
      </c>
      <c r="E71" s="181"/>
      <c r="F71" s="105"/>
    </row>
    <row r="72" spans="1:6" ht="24.9" customHeight="1" x14ac:dyDescent="0.3">
      <c r="A72" s="483" t="s">
        <v>170</v>
      </c>
      <c r="B72" s="183" t="s">
        <v>703</v>
      </c>
      <c r="C72" s="482" t="s">
        <v>131</v>
      </c>
      <c r="D72" s="484">
        <f>2*(6.4*3-1.76)</f>
        <v>34.880000000000003</v>
      </c>
      <c r="E72" s="485"/>
      <c r="F72" s="724"/>
    </row>
    <row r="73" spans="1:6" ht="15" customHeight="1" x14ac:dyDescent="0.3">
      <c r="A73" s="147" t="s">
        <v>162</v>
      </c>
      <c r="B73" s="179" t="s">
        <v>171</v>
      </c>
      <c r="C73" s="163"/>
      <c r="D73" s="180"/>
      <c r="E73" s="181"/>
      <c r="F73" s="105"/>
    </row>
    <row r="74" spans="1:6" ht="15" customHeight="1" x14ac:dyDescent="0.3">
      <c r="A74" s="148" t="s">
        <v>163</v>
      </c>
      <c r="B74" s="183" t="s">
        <v>172</v>
      </c>
      <c r="C74" s="163" t="s">
        <v>131</v>
      </c>
      <c r="D74" s="180">
        <v>1.2</v>
      </c>
      <c r="E74" s="181"/>
      <c r="F74" s="105"/>
    </row>
    <row r="75" spans="1:6" ht="15" customHeight="1" thickBot="1" x14ac:dyDescent="0.35">
      <c r="A75" s="196"/>
      <c r="B75" s="197"/>
      <c r="C75" s="198"/>
      <c r="D75" s="199"/>
      <c r="E75" s="200"/>
      <c r="F75" s="107"/>
    </row>
    <row r="76" spans="1:6" ht="15" customHeight="1" thickBot="1" x14ac:dyDescent="0.35">
      <c r="A76" s="821" t="s">
        <v>175</v>
      </c>
      <c r="B76" s="822"/>
      <c r="C76" s="822"/>
      <c r="D76" s="822"/>
      <c r="E76" s="823"/>
      <c r="F76" s="609"/>
    </row>
    <row r="77" spans="1:6" ht="15" customHeight="1" thickBot="1" x14ac:dyDescent="0.35">
      <c r="A77" s="688"/>
      <c r="B77" s="689"/>
      <c r="C77" s="690"/>
      <c r="D77" s="691"/>
      <c r="E77" s="692"/>
      <c r="F77" s="693"/>
    </row>
    <row r="78" spans="1:6" ht="15" customHeight="1" thickBot="1" x14ac:dyDescent="0.35">
      <c r="A78" s="821" t="s">
        <v>191</v>
      </c>
      <c r="B78" s="822"/>
      <c r="C78" s="822"/>
      <c r="D78" s="822"/>
      <c r="E78" s="823"/>
      <c r="F78" s="586"/>
    </row>
    <row r="79" spans="1:6" ht="15" customHeight="1" x14ac:dyDescent="0.3">
      <c r="A79" s="694"/>
      <c r="B79" s="695"/>
      <c r="C79" s="696"/>
      <c r="D79" s="697"/>
      <c r="E79" s="698"/>
      <c r="F79" s="699"/>
    </row>
    <row r="80" spans="1:6" ht="15" customHeight="1" x14ac:dyDescent="0.3">
      <c r="A80" s="58" t="s">
        <v>176</v>
      </c>
      <c r="B80" s="99" t="s">
        <v>177</v>
      </c>
      <c r="C80" s="60"/>
      <c r="D80" s="131"/>
      <c r="E80" s="51"/>
      <c r="F80" s="89"/>
    </row>
    <row r="81" spans="1:6" ht="15" customHeight="1" x14ac:dyDescent="0.3">
      <c r="A81" s="54"/>
      <c r="B81" s="167"/>
      <c r="C81" s="60"/>
      <c r="D81" s="131"/>
      <c r="E81" s="51"/>
      <c r="F81" s="89"/>
    </row>
    <row r="82" spans="1:6" ht="15" customHeight="1" x14ac:dyDescent="0.3">
      <c r="A82" s="54" t="s">
        <v>53</v>
      </c>
      <c r="B82" s="111" t="s">
        <v>732</v>
      </c>
      <c r="C82" s="60"/>
      <c r="D82" s="131"/>
      <c r="E82" s="80"/>
      <c r="F82" s="112"/>
    </row>
    <row r="83" spans="1:6" ht="24.9" customHeight="1" x14ac:dyDescent="0.3">
      <c r="A83" s="61" t="s">
        <v>82</v>
      </c>
      <c r="B83" s="69" t="s">
        <v>181</v>
      </c>
      <c r="C83" s="163" t="s">
        <v>131</v>
      </c>
      <c r="D83" s="70">
        <f>2*2.4</f>
        <v>4.8</v>
      </c>
      <c r="E83" s="393"/>
      <c r="F83" s="588"/>
    </row>
    <row r="84" spans="1:6" ht="15" customHeight="1" x14ac:dyDescent="0.3">
      <c r="A84" s="61" t="s">
        <v>178</v>
      </c>
      <c r="B84" s="113" t="s">
        <v>717</v>
      </c>
      <c r="C84" s="60" t="s">
        <v>15</v>
      </c>
      <c r="D84" s="131">
        <f>2*(6.4-0.8)</f>
        <v>11.200000000000001</v>
      </c>
      <c r="E84" s="393"/>
      <c r="F84" s="588"/>
    </row>
    <row r="85" spans="1:6" ht="15" customHeight="1" thickBot="1" x14ac:dyDescent="0.35">
      <c r="A85" s="76"/>
      <c r="B85" s="114"/>
      <c r="C85" s="63"/>
      <c r="D85" s="206"/>
      <c r="E85" s="207"/>
      <c r="F85" s="115"/>
    </row>
    <row r="86" spans="1:6" ht="15" customHeight="1" thickBot="1" x14ac:dyDescent="0.35">
      <c r="A86" s="821" t="s">
        <v>192</v>
      </c>
      <c r="B86" s="822"/>
      <c r="C86" s="822"/>
      <c r="D86" s="822"/>
      <c r="E86" s="823"/>
      <c r="F86" s="589"/>
    </row>
    <row r="87" spans="1:6" ht="15" customHeight="1" x14ac:dyDescent="0.3">
      <c r="A87" s="116"/>
      <c r="B87" s="117"/>
      <c r="C87" s="117"/>
      <c r="D87" s="117"/>
      <c r="E87" s="117"/>
      <c r="F87" s="118"/>
    </row>
    <row r="88" spans="1:6" ht="15" customHeight="1" x14ac:dyDescent="0.3">
      <c r="A88" s="58" t="s">
        <v>182</v>
      </c>
      <c r="B88" s="99" t="s">
        <v>656</v>
      </c>
      <c r="C88" s="60"/>
      <c r="D88" s="131"/>
      <c r="E88" s="615"/>
      <c r="F88" s="614"/>
    </row>
    <row r="89" spans="1:6" ht="15" customHeight="1" x14ac:dyDescent="0.3">
      <c r="A89" s="54"/>
      <c r="B89" s="167"/>
      <c r="C89" s="60"/>
      <c r="D89" s="131"/>
      <c r="E89" s="51"/>
      <c r="F89" s="89"/>
    </row>
    <row r="90" spans="1:6" ht="15" customHeight="1" x14ac:dyDescent="0.3">
      <c r="A90" s="64" t="s">
        <v>186</v>
      </c>
      <c r="B90" s="111" t="s">
        <v>188</v>
      </c>
      <c r="C90" s="60"/>
      <c r="D90" s="131"/>
      <c r="E90" s="80"/>
      <c r="F90" s="119"/>
    </row>
    <row r="91" spans="1:6" ht="15" customHeight="1" x14ac:dyDescent="0.3">
      <c r="A91" s="65" t="s">
        <v>187</v>
      </c>
      <c r="B91" s="69" t="s">
        <v>675</v>
      </c>
      <c r="C91" s="60" t="s">
        <v>15</v>
      </c>
      <c r="D91" s="131">
        <f>14*1*5+14*0.8+0.6*2*4</f>
        <v>86</v>
      </c>
      <c r="E91" s="393"/>
      <c r="F91" s="591"/>
    </row>
    <row r="92" spans="1:6" ht="15" customHeight="1" thickBot="1" x14ac:dyDescent="0.35">
      <c r="A92" s="700"/>
      <c r="B92" s="114"/>
      <c r="C92" s="63"/>
      <c r="D92" s="206"/>
      <c r="E92" s="207"/>
      <c r="F92" s="115"/>
    </row>
    <row r="93" spans="1:6" ht="15" customHeight="1" thickBot="1" x14ac:dyDescent="0.35">
      <c r="A93" s="821" t="s">
        <v>194</v>
      </c>
      <c r="B93" s="822"/>
      <c r="C93" s="822"/>
      <c r="D93" s="822"/>
      <c r="E93" s="823"/>
      <c r="F93" s="589"/>
    </row>
    <row r="94" spans="1:6" ht="15" customHeight="1" x14ac:dyDescent="0.3">
      <c r="A94" s="701"/>
      <c r="B94" s="397"/>
      <c r="C94" s="397"/>
      <c r="D94" s="397"/>
      <c r="E94" s="397"/>
      <c r="F94" s="702"/>
    </row>
    <row r="95" spans="1:6" ht="15" customHeight="1" x14ac:dyDescent="0.3">
      <c r="A95" s="58" t="s">
        <v>183</v>
      </c>
      <c r="B95" s="99" t="s">
        <v>184</v>
      </c>
      <c r="C95" s="60"/>
      <c r="D95" s="131"/>
      <c r="E95" s="51"/>
      <c r="F95" s="89"/>
    </row>
    <row r="96" spans="1:6" ht="15" customHeight="1" x14ac:dyDescent="0.3">
      <c r="A96" s="54"/>
      <c r="B96" s="167"/>
      <c r="C96" s="60"/>
      <c r="D96" s="131"/>
      <c r="E96" s="51"/>
      <c r="F96" s="89"/>
    </row>
    <row r="97" spans="1:6" ht="15" customHeight="1" x14ac:dyDescent="0.3">
      <c r="A97" s="64" t="s">
        <v>16</v>
      </c>
      <c r="B97" s="111" t="s">
        <v>185</v>
      </c>
      <c r="C97" s="60"/>
      <c r="D97" s="131"/>
      <c r="E97" s="80"/>
      <c r="F97" s="112"/>
    </row>
    <row r="98" spans="1:6" ht="15" customHeight="1" x14ac:dyDescent="0.3">
      <c r="A98" s="65" t="s">
        <v>17</v>
      </c>
      <c r="B98" s="69" t="s">
        <v>419</v>
      </c>
      <c r="C98" s="163" t="s">
        <v>131</v>
      </c>
      <c r="D98" s="131">
        <f>5*1.4*1.4</f>
        <v>9.7999999999999989</v>
      </c>
      <c r="E98" s="393"/>
      <c r="F98" s="591"/>
    </row>
    <row r="99" spans="1:6" ht="15" customHeight="1" x14ac:dyDescent="0.3">
      <c r="A99" s="65" t="s">
        <v>19</v>
      </c>
      <c r="B99" s="69" t="s">
        <v>420</v>
      </c>
      <c r="C99" s="163" t="s">
        <v>131</v>
      </c>
      <c r="D99" s="131">
        <f>1.2*1.4</f>
        <v>1.68</v>
      </c>
      <c r="E99" s="393"/>
      <c r="F99" s="591"/>
    </row>
    <row r="100" spans="1:6" ht="15" customHeight="1" x14ac:dyDescent="0.3">
      <c r="A100" s="65" t="s">
        <v>365</v>
      </c>
      <c r="B100" s="69" t="s">
        <v>421</v>
      </c>
      <c r="C100" s="163" t="s">
        <v>131</v>
      </c>
      <c r="D100" s="131">
        <f>0.8*0.8*2</f>
        <v>1.2800000000000002</v>
      </c>
      <c r="E100" s="393"/>
      <c r="F100" s="591"/>
    </row>
    <row r="101" spans="1:6" ht="15" customHeight="1" thickBot="1" x14ac:dyDescent="0.35">
      <c r="A101" s="77"/>
      <c r="B101" s="114"/>
      <c r="C101" s="63"/>
      <c r="D101" s="206"/>
      <c r="E101" s="207"/>
      <c r="F101" s="121"/>
    </row>
    <row r="102" spans="1:6" ht="15" customHeight="1" thickBot="1" x14ac:dyDescent="0.35">
      <c r="A102" s="821" t="s">
        <v>193</v>
      </c>
      <c r="B102" s="822"/>
      <c r="C102" s="822"/>
      <c r="D102" s="822"/>
      <c r="E102" s="823"/>
      <c r="F102" s="589"/>
    </row>
    <row r="103" spans="1:6" ht="15" customHeight="1" x14ac:dyDescent="0.3">
      <c r="A103" s="703"/>
      <c r="B103" s="704"/>
      <c r="C103" s="705"/>
      <c r="D103" s="706"/>
      <c r="E103" s="707"/>
      <c r="F103" s="693"/>
    </row>
    <row r="104" spans="1:6" ht="15" customHeight="1" x14ac:dyDescent="0.3">
      <c r="A104" s="58" t="s">
        <v>195</v>
      </c>
      <c r="B104" s="99" t="s">
        <v>196</v>
      </c>
      <c r="C104" s="60"/>
      <c r="D104" s="131"/>
      <c r="E104" s="615"/>
      <c r="F104" s="614"/>
    </row>
    <row r="105" spans="1:6" ht="15" customHeight="1" x14ac:dyDescent="0.3">
      <c r="A105" s="54"/>
      <c r="B105" s="123"/>
      <c r="C105" s="60"/>
      <c r="D105" s="131"/>
      <c r="E105" s="80"/>
      <c r="F105" s="112"/>
    </row>
    <row r="106" spans="1:6" ht="15" customHeight="1" x14ac:dyDescent="0.3">
      <c r="A106" s="64" t="s">
        <v>20</v>
      </c>
      <c r="B106" s="123" t="s">
        <v>76</v>
      </c>
      <c r="C106" s="60"/>
      <c r="D106" s="131"/>
      <c r="E106" s="80"/>
      <c r="F106" s="119"/>
    </row>
    <row r="107" spans="1:6" ht="15" customHeight="1" x14ac:dyDescent="0.3">
      <c r="A107" s="64" t="s">
        <v>21</v>
      </c>
      <c r="B107" s="124" t="s">
        <v>199</v>
      </c>
      <c r="C107" s="60"/>
      <c r="D107" s="131"/>
      <c r="E107" s="80"/>
      <c r="F107" s="119"/>
    </row>
    <row r="108" spans="1:6" ht="15" customHeight="1" x14ac:dyDescent="0.3">
      <c r="A108" s="65" t="s">
        <v>201</v>
      </c>
      <c r="B108" s="125" t="s">
        <v>197</v>
      </c>
      <c r="C108" s="60" t="s">
        <v>15</v>
      </c>
      <c r="D108" s="131">
        <v>20.74</v>
      </c>
      <c r="E108" s="393"/>
      <c r="F108" s="591"/>
    </row>
    <row r="109" spans="1:6" ht="24.9" customHeight="1" x14ac:dyDescent="0.3">
      <c r="A109" s="66" t="s">
        <v>202</v>
      </c>
      <c r="B109" s="69" t="s">
        <v>240</v>
      </c>
      <c r="C109" s="62" t="s">
        <v>15</v>
      </c>
      <c r="D109" s="70">
        <f>+D108</f>
        <v>20.74</v>
      </c>
      <c r="E109" s="383"/>
      <c r="F109" s="591"/>
    </row>
    <row r="110" spans="1:6" ht="15" customHeight="1" x14ac:dyDescent="0.3">
      <c r="A110" s="64" t="s">
        <v>203</v>
      </c>
      <c r="B110" s="124" t="s">
        <v>200</v>
      </c>
      <c r="C110" s="60"/>
      <c r="D110" s="131"/>
      <c r="E110" s="80"/>
      <c r="F110" s="591"/>
    </row>
    <row r="111" spans="1:6" ht="24.9" customHeight="1" x14ac:dyDescent="0.3">
      <c r="A111" s="66" t="s">
        <v>204</v>
      </c>
      <c r="B111" s="69" t="s">
        <v>238</v>
      </c>
      <c r="C111" s="62" t="s">
        <v>15</v>
      </c>
      <c r="D111" s="70">
        <f>+(0.33+1.84+0.8*2+1.5+0.41)*1.1</f>
        <v>6.2480000000000002</v>
      </c>
      <c r="E111" s="383"/>
      <c r="F111" s="591"/>
    </row>
    <row r="112" spans="1:6" ht="15" customHeight="1" x14ac:dyDescent="0.3">
      <c r="A112" s="64" t="s">
        <v>22</v>
      </c>
      <c r="B112" s="123" t="s">
        <v>198</v>
      </c>
      <c r="C112" s="60"/>
      <c r="D112" s="131"/>
      <c r="E112" s="393"/>
      <c r="F112" s="591"/>
    </row>
    <row r="113" spans="1:8" ht="15" customHeight="1" x14ac:dyDescent="0.3">
      <c r="A113" s="64" t="s">
        <v>77</v>
      </c>
      <c r="B113" s="124" t="s">
        <v>205</v>
      </c>
      <c r="C113" s="60"/>
      <c r="D113" s="131"/>
      <c r="E113" s="393"/>
      <c r="F113" s="591"/>
    </row>
    <row r="114" spans="1:8" ht="15" customHeight="1" x14ac:dyDescent="0.3">
      <c r="A114" s="65" t="s">
        <v>208</v>
      </c>
      <c r="B114" s="125" t="s">
        <v>206</v>
      </c>
      <c r="C114" s="60" t="s">
        <v>15</v>
      </c>
      <c r="D114" s="131">
        <f>(2*0.8+2.3+1.05)*1.2</f>
        <v>5.94</v>
      </c>
      <c r="E114" s="393"/>
      <c r="F114" s="591"/>
      <c r="H114">
        <v>20.74</v>
      </c>
    </row>
    <row r="115" spans="1:8" ht="15" customHeight="1" x14ac:dyDescent="0.3">
      <c r="A115" s="65" t="s">
        <v>209</v>
      </c>
      <c r="B115" s="113" t="s">
        <v>207</v>
      </c>
      <c r="C115" s="60" t="s">
        <v>15</v>
      </c>
      <c r="D115" s="131">
        <f>(1.45+0.9)*1.2</f>
        <v>2.82</v>
      </c>
      <c r="E115" s="393"/>
      <c r="F115" s="591"/>
    </row>
    <row r="116" spans="1:8" s="613" customFormat="1" ht="15" customHeight="1" x14ac:dyDescent="0.3">
      <c r="A116" s="65" t="s">
        <v>728</v>
      </c>
      <c r="B116" s="113" t="s">
        <v>729</v>
      </c>
      <c r="C116" s="60" t="s">
        <v>15</v>
      </c>
      <c r="D116" s="131">
        <v>2</v>
      </c>
      <c r="E116" s="393"/>
      <c r="F116" s="591"/>
    </row>
    <row r="117" spans="1:8" ht="15" customHeight="1" x14ac:dyDescent="0.3">
      <c r="A117" s="64" t="s">
        <v>23</v>
      </c>
      <c r="B117" s="111" t="s">
        <v>210</v>
      </c>
      <c r="C117" s="60"/>
      <c r="D117" s="131"/>
      <c r="E117" s="393"/>
      <c r="F117" s="591"/>
    </row>
    <row r="118" spans="1:8" ht="15" customHeight="1" x14ac:dyDescent="0.3">
      <c r="A118" s="64" t="s">
        <v>78</v>
      </c>
      <c r="B118" s="127" t="s">
        <v>211</v>
      </c>
      <c r="C118" s="60"/>
      <c r="D118" s="131"/>
      <c r="E118" s="393"/>
      <c r="F118" s="591"/>
    </row>
    <row r="119" spans="1:8" ht="15" customHeight="1" x14ac:dyDescent="0.3">
      <c r="A119" s="65" t="s">
        <v>215</v>
      </c>
      <c r="B119" s="113" t="s">
        <v>239</v>
      </c>
      <c r="C119" s="60" t="s">
        <v>18</v>
      </c>
      <c r="D119" s="131">
        <v>2</v>
      </c>
      <c r="E119" s="393"/>
      <c r="F119" s="591"/>
    </row>
    <row r="120" spans="1:8" ht="15" customHeight="1" x14ac:dyDescent="0.3">
      <c r="A120" s="64" t="s">
        <v>216</v>
      </c>
      <c r="B120" s="111" t="s">
        <v>212</v>
      </c>
      <c r="C120" s="60"/>
      <c r="D120" s="131"/>
      <c r="E120" s="80"/>
      <c r="F120" s="591"/>
    </row>
    <row r="121" spans="1:8" ht="15" customHeight="1" x14ac:dyDescent="0.3">
      <c r="A121" s="64" t="s">
        <v>217</v>
      </c>
      <c r="B121" s="127" t="s">
        <v>213</v>
      </c>
      <c r="C121" s="60"/>
      <c r="D121" s="131"/>
      <c r="E121" s="80"/>
      <c r="F121" s="591"/>
    </row>
    <row r="122" spans="1:8" ht="24.9" customHeight="1" x14ac:dyDescent="0.3">
      <c r="A122" s="66" t="s">
        <v>218</v>
      </c>
      <c r="B122" s="69" t="s">
        <v>425</v>
      </c>
      <c r="C122" s="62" t="s">
        <v>18</v>
      </c>
      <c r="D122" s="70">
        <v>2</v>
      </c>
      <c r="E122" s="383"/>
      <c r="F122" s="591"/>
    </row>
    <row r="123" spans="1:8" ht="24.9" customHeight="1" x14ac:dyDescent="0.3">
      <c r="A123" s="66" t="s">
        <v>219</v>
      </c>
      <c r="B123" s="69" t="s">
        <v>731</v>
      </c>
      <c r="C123" s="62" t="s">
        <v>18</v>
      </c>
      <c r="D123" s="70">
        <v>2</v>
      </c>
      <c r="E123" s="383"/>
      <c r="F123" s="591"/>
    </row>
    <row r="124" spans="1:8" ht="15" customHeight="1" x14ac:dyDescent="0.3">
      <c r="A124" s="64" t="s">
        <v>220</v>
      </c>
      <c r="B124" s="127" t="s">
        <v>221</v>
      </c>
      <c r="C124" s="60"/>
      <c r="D124" s="131"/>
      <c r="E124" s="80"/>
      <c r="F124" s="591"/>
    </row>
    <row r="125" spans="1:8" ht="15" customHeight="1" x14ac:dyDescent="0.3">
      <c r="A125" s="65" t="s">
        <v>222</v>
      </c>
      <c r="B125" s="113" t="s">
        <v>705</v>
      </c>
      <c r="C125" s="60" t="s">
        <v>18</v>
      </c>
      <c r="D125" s="131">
        <v>2</v>
      </c>
      <c r="E125" s="393"/>
      <c r="F125" s="591"/>
    </row>
    <row r="126" spans="1:8" ht="15" customHeight="1" x14ac:dyDescent="0.3">
      <c r="A126" s="65" t="s">
        <v>223</v>
      </c>
      <c r="B126" s="81" t="s">
        <v>668</v>
      </c>
      <c r="C126" s="63" t="s">
        <v>18</v>
      </c>
      <c r="D126" s="212">
        <v>2</v>
      </c>
      <c r="E126" s="401"/>
      <c r="F126" s="591"/>
    </row>
    <row r="127" spans="1:8" ht="15" customHeight="1" x14ac:dyDescent="0.3">
      <c r="A127" s="65" t="s">
        <v>224</v>
      </c>
      <c r="B127" s="81" t="s">
        <v>669</v>
      </c>
      <c r="C127" s="63" t="s">
        <v>18</v>
      </c>
      <c r="D127" s="212">
        <v>2</v>
      </c>
      <c r="E127" s="401"/>
      <c r="F127" s="591"/>
    </row>
    <row r="128" spans="1:8" s="613" customFormat="1" ht="15" customHeight="1" x14ac:dyDescent="0.3">
      <c r="A128" s="65" t="s">
        <v>726</v>
      </c>
      <c r="B128" s="81" t="s">
        <v>727</v>
      </c>
      <c r="C128" s="63" t="s">
        <v>18</v>
      </c>
      <c r="D128" s="212">
        <v>2</v>
      </c>
      <c r="E128" s="401"/>
      <c r="F128" s="591"/>
    </row>
    <row r="129" spans="1:6" ht="15" customHeight="1" thickBot="1" x14ac:dyDescent="0.35">
      <c r="A129" s="78"/>
      <c r="B129" s="128"/>
      <c r="C129" s="63"/>
      <c r="D129" s="206"/>
      <c r="E129" s="207"/>
      <c r="F129" s="592"/>
    </row>
    <row r="130" spans="1:6" ht="15" customHeight="1" thickBot="1" x14ac:dyDescent="0.35">
      <c r="A130" s="821" t="s">
        <v>225</v>
      </c>
      <c r="B130" s="822"/>
      <c r="C130" s="822"/>
      <c r="D130" s="822"/>
      <c r="E130" s="823"/>
      <c r="F130" s="589"/>
    </row>
    <row r="131" spans="1:6" ht="15" customHeight="1" x14ac:dyDescent="0.3">
      <c r="A131" s="708"/>
      <c r="B131" s="709"/>
      <c r="C131" s="696"/>
      <c r="D131" s="697"/>
      <c r="E131" s="698"/>
      <c r="F131" s="699"/>
    </row>
    <row r="132" spans="1:6" ht="15" customHeight="1" x14ac:dyDescent="0.3">
      <c r="A132" s="58" t="s">
        <v>226</v>
      </c>
      <c r="B132" s="99" t="s">
        <v>227</v>
      </c>
      <c r="C132" s="60"/>
      <c r="D132" s="131"/>
      <c r="E132" s="51"/>
      <c r="F132" s="89"/>
    </row>
    <row r="133" spans="1:6" ht="15" customHeight="1" x14ac:dyDescent="0.3">
      <c r="A133" s="708"/>
      <c r="B133" s="709"/>
      <c r="C133" s="696"/>
      <c r="D133" s="697"/>
      <c r="E133" s="698"/>
      <c r="F133" s="699"/>
    </row>
    <row r="134" spans="1:6" ht="15" customHeight="1" x14ac:dyDescent="0.3">
      <c r="A134" s="64" t="s">
        <v>44</v>
      </c>
      <c r="B134" s="111" t="s">
        <v>228</v>
      </c>
      <c r="C134" s="60"/>
      <c r="D134" s="131"/>
      <c r="E134" s="80"/>
      <c r="F134" s="119"/>
    </row>
    <row r="135" spans="1:6" ht="15" customHeight="1" x14ac:dyDescent="0.3">
      <c r="A135" s="64" t="s">
        <v>75</v>
      </c>
      <c r="B135" s="127" t="s">
        <v>229</v>
      </c>
      <c r="C135" s="60"/>
      <c r="D135" s="131"/>
      <c r="E135" s="80"/>
      <c r="F135" s="119"/>
    </row>
    <row r="136" spans="1:6" ht="15" customHeight="1" x14ac:dyDescent="0.3">
      <c r="A136" s="65" t="s">
        <v>242</v>
      </c>
      <c r="B136" s="113" t="s">
        <v>241</v>
      </c>
      <c r="C136" s="60" t="s">
        <v>15</v>
      </c>
      <c r="D136" s="131">
        <f>3.03+3.5</f>
        <v>6.5299999999999994</v>
      </c>
      <c r="E136" s="393"/>
      <c r="F136" s="591"/>
    </row>
    <row r="137" spans="1:6" ht="15" customHeight="1" x14ac:dyDescent="0.3">
      <c r="A137" s="64" t="s">
        <v>24</v>
      </c>
      <c r="B137" s="111" t="s">
        <v>232</v>
      </c>
      <c r="C137" s="60"/>
      <c r="D137" s="131"/>
      <c r="E137" s="393"/>
      <c r="F137" s="591"/>
    </row>
    <row r="138" spans="1:6" ht="15" customHeight="1" x14ac:dyDescent="0.3">
      <c r="A138" s="64" t="s">
        <v>25</v>
      </c>
      <c r="B138" s="130" t="s">
        <v>233</v>
      </c>
      <c r="C138" s="60"/>
      <c r="D138" s="131"/>
      <c r="E138" s="393"/>
      <c r="F138" s="591"/>
    </row>
    <row r="139" spans="1:6" ht="15" customHeight="1" x14ac:dyDescent="0.3">
      <c r="A139" s="68" t="s">
        <v>243</v>
      </c>
      <c r="B139" s="132" t="s">
        <v>230</v>
      </c>
      <c r="C139" s="67" t="s">
        <v>18</v>
      </c>
      <c r="D139" s="133">
        <v>1</v>
      </c>
      <c r="E139" s="593"/>
      <c r="F139" s="591"/>
    </row>
    <row r="140" spans="1:6" ht="15" customHeight="1" x14ac:dyDescent="0.3">
      <c r="A140" s="65" t="s">
        <v>244</v>
      </c>
      <c r="B140" s="69" t="s">
        <v>723</v>
      </c>
      <c r="C140" s="60" t="s">
        <v>18</v>
      </c>
      <c r="D140" s="131">
        <v>1</v>
      </c>
      <c r="E140" s="393"/>
      <c r="F140" s="591"/>
    </row>
    <row r="141" spans="1:6" ht="15" customHeight="1" x14ac:dyDescent="0.3">
      <c r="A141" s="64" t="s">
        <v>245</v>
      </c>
      <c r="B141" s="130" t="s">
        <v>234</v>
      </c>
      <c r="C141" s="60"/>
      <c r="D141" s="131"/>
      <c r="E141" s="393"/>
      <c r="F141" s="591"/>
    </row>
    <row r="142" spans="1:6" ht="15" customHeight="1" x14ac:dyDescent="0.3">
      <c r="A142" s="66" t="s">
        <v>246</v>
      </c>
      <c r="B142" s="69" t="s">
        <v>235</v>
      </c>
      <c r="C142" s="62" t="s">
        <v>18</v>
      </c>
      <c r="D142" s="70">
        <v>1</v>
      </c>
      <c r="E142" s="383"/>
      <c r="F142" s="591"/>
    </row>
    <row r="143" spans="1:6" ht="15" customHeight="1" x14ac:dyDescent="0.3">
      <c r="A143" s="64" t="s">
        <v>247</v>
      </c>
      <c r="B143" s="130" t="s">
        <v>236</v>
      </c>
      <c r="C143" s="62"/>
      <c r="D143" s="70"/>
      <c r="E143" s="383"/>
      <c r="F143" s="591"/>
    </row>
    <row r="144" spans="1:6" ht="15" customHeight="1" x14ac:dyDescent="0.3">
      <c r="A144" s="66" t="s">
        <v>248</v>
      </c>
      <c r="B144" s="69" t="s">
        <v>237</v>
      </c>
      <c r="C144" s="62" t="s">
        <v>18</v>
      </c>
      <c r="D144" s="70">
        <v>1</v>
      </c>
      <c r="E144" s="383"/>
      <c r="F144" s="591"/>
    </row>
    <row r="145" spans="1:8" ht="15" customHeight="1" thickBot="1" x14ac:dyDescent="0.35">
      <c r="A145" s="710"/>
      <c r="B145" s="711"/>
      <c r="C145" s="712"/>
      <c r="D145" s="713"/>
      <c r="E145" s="714"/>
      <c r="F145" s="715"/>
    </row>
    <row r="146" spans="1:8" ht="15" customHeight="1" thickBot="1" x14ac:dyDescent="0.35">
      <c r="A146" s="821" t="s">
        <v>231</v>
      </c>
      <c r="B146" s="822"/>
      <c r="C146" s="822"/>
      <c r="D146" s="822"/>
      <c r="E146" s="823"/>
      <c r="F146" s="586"/>
    </row>
    <row r="147" spans="1:8" ht="15" customHeight="1" x14ac:dyDescent="0.3">
      <c r="A147" s="716"/>
      <c r="B147" s="111"/>
      <c r="C147" s="60"/>
      <c r="D147" s="131"/>
      <c r="E147" s="80"/>
      <c r="F147" s="112"/>
    </row>
    <row r="148" spans="1:8" ht="15" customHeight="1" x14ac:dyDescent="0.3">
      <c r="A148" s="58" t="s">
        <v>249</v>
      </c>
      <c r="B148" s="99" t="s">
        <v>250</v>
      </c>
      <c r="C148" s="60"/>
      <c r="D148" s="131"/>
      <c r="E148" s="51"/>
      <c r="F148" s="89"/>
    </row>
    <row r="149" spans="1:8" ht="15" customHeight="1" x14ac:dyDescent="0.3">
      <c r="A149" s="716"/>
      <c r="B149" s="111"/>
      <c r="C149" s="60"/>
      <c r="D149" s="131"/>
      <c r="E149" s="80"/>
      <c r="F149" s="112"/>
    </row>
    <row r="150" spans="1:8" ht="15" customHeight="1" x14ac:dyDescent="0.3">
      <c r="A150" s="64" t="s">
        <v>26</v>
      </c>
      <c r="B150" s="111" t="s">
        <v>251</v>
      </c>
      <c r="C150" s="60"/>
      <c r="D150" s="131"/>
      <c r="E150" s="80"/>
      <c r="F150" s="119"/>
    </row>
    <row r="151" spans="1:8" ht="15" customHeight="1" x14ac:dyDescent="0.3">
      <c r="A151" s="64" t="s">
        <v>42</v>
      </c>
      <c r="B151" s="127" t="s">
        <v>253</v>
      </c>
      <c r="C151" s="60"/>
      <c r="D151" s="131"/>
      <c r="E151" s="80"/>
      <c r="F151" s="119"/>
    </row>
    <row r="152" spans="1:8" ht="15" customHeight="1" x14ac:dyDescent="0.3">
      <c r="A152" s="65" t="s">
        <v>258</v>
      </c>
      <c r="B152" s="113" t="s">
        <v>422</v>
      </c>
      <c r="C152" s="60" t="s">
        <v>15</v>
      </c>
      <c r="D152" s="131">
        <v>20.74</v>
      </c>
      <c r="E152" s="594"/>
      <c r="F152" s="591"/>
    </row>
    <row r="153" spans="1:8" ht="15" customHeight="1" x14ac:dyDescent="0.3">
      <c r="A153" s="65" t="s">
        <v>259</v>
      </c>
      <c r="B153" s="113" t="s">
        <v>252</v>
      </c>
      <c r="C153" s="60" t="s">
        <v>15</v>
      </c>
      <c r="D153" s="131">
        <f>+D152</f>
        <v>20.74</v>
      </c>
      <c r="E153" s="594"/>
      <c r="F153" s="591"/>
    </row>
    <row r="154" spans="1:8" ht="15" customHeight="1" x14ac:dyDescent="0.3">
      <c r="A154" s="64" t="s">
        <v>266</v>
      </c>
      <c r="B154" s="127" t="s">
        <v>254</v>
      </c>
      <c r="C154" s="60"/>
      <c r="D154" s="131"/>
      <c r="E154" s="594"/>
      <c r="F154" s="591"/>
    </row>
    <row r="155" spans="1:8" ht="24.9" customHeight="1" x14ac:dyDescent="0.3">
      <c r="A155" s="66" t="s">
        <v>608</v>
      </c>
      <c r="B155" s="69" t="s">
        <v>280</v>
      </c>
      <c r="C155" s="62" t="s">
        <v>15</v>
      </c>
      <c r="D155" s="70">
        <v>33.47</v>
      </c>
      <c r="E155" s="595"/>
      <c r="F155" s="591"/>
    </row>
    <row r="156" spans="1:8" ht="24.9" customHeight="1" x14ac:dyDescent="0.3">
      <c r="A156" s="66" t="s">
        <v>699</v>
      </c>
      <c r="B156" s="69" t="s">
        <v>264</v>
      </c>
      <c r="C156" s="62" t="s">
        <v>54</v>
      </c>
      <c r="D156" s="70">
        <v>2</v>
      </c>
      <c r="E156" s="595"/>
      <c r="F156" s="591"/>
    </row>
    <row r="157" spans="1:8" ht="15" customHeight="1" x14ac:dyDescent="0.3">
      <c r="A157" s="64" t="s">
        <v>267</v>
      </c>
      <c r="B157" s="127" t="s">
        <v>255</v>
      </c>
      <c r="C157" s="60"/>
      <c r="D157" s="131"/>
      <c r="E157" s="594"/>
      <c r="F157" s="591"/>
    </row>
    <row r="158" spans="1:8" ht="24.9" customHeight="1" x14ac:dyDescent="0.3">
      <c r="A158" s="66" t="s">
        <v>281</v>
      </c>
      <c r="B158" s="69" t="s">
        <v>670</v>
      </c>
      <c r="C158" s="62" t="s">
        <v>18</v>
      </c>
      <c r="D158" s="70">
        <v>1</v>
      </c>
      <c r="E158" s="595"/>
      <c r="F158" s="591"/>
      <c r="H158" t="s">
        <v>721</v>
      </c>
    </row>
    <row r="159" spans="1:8" ht="15" customHeight="1" x14ac:dyDescent="0.3">
      <c r="A159" s="64" t="s">
        <v>27</v>
      </c>
      <c r="B159" s="111" t="s">
        <v>263</v>
      </c>
      <c r="C159" s="60"/>
      <c r="D159" s="131"/>
      <c r="E159" s="594"/>
      <c r="F159" s="591"/>
      <c r="H159">
        <v>20.74</v>
      </c>
    </row>
    <row r="160" spans="1:8" ht="15" customHeight="1" x14ac:dyDescent="0.3">
      <c r="A160" s="64" t="s">
        <v>71</v>
      </c>
      <c r="B160" s="127" t="s">
        <v>257</v>
      </c>
      <c r="C160" s="60"/>
      <c r="D160" s="131"/>
      <c r="E160" s="594"/>
      <c r="F160" s="591"/>
    </row>
    <row r="161" spans="1:6" ht="15" customHeight="1" x14ac:dyDescent="0.3">
      <c r="A161" s="65" t="s">
        <v>260</v>
      </c>
      <c r="B161" s="113" t="s">
        <v>423</v>
      </c>
      <c r="C161" s="60" t="s">
        <v>15</v>
      </c>
      <c r="D161" s="131">
        <f>7*1.9*1.2</f>
        <v>15.959999999999997</v>
      </c>
      <c r="E161" s="594"/>
      <c r="F161" s="591"/>
    </row>
    <row r="162" spans="1:6" ht="15" customHeight="1" x14ac:dyDescent="0.3">
      <c r="A162" s="65" t="s">
        <v>261</v>
      </c>
      <c r="B162" s="113" t="s">
        <v>428</v>
      </c>
      <c r="C162" s="60" t="s">
        <v>15</v>
      </c>
      <c r="D162" s="131">
        <f>+(2.45+3.47+3.37+0.3*8+0.72+1.2*2+2.01+3.11+2.53+0.31+2*1.9)*1.2</f>
        <v>31.884</v>
      </c>
      <c r="E162" s="594"/>
      <c r="F162" s="591"/>
    </row>
    <row r="163" spans="1:6" ht="15" customHeight="1" x14ac:dyDescent="0.3">
      <c r="A163" s="65" t="s">
        <v>262</v>
      </c>
      <c r="B163" s="113" t="s">
        <v>256</v>
      </c>
      <c r="C163" s="60" t="s">
        <v>15</v>
      </c>
      <c r="D163" s="131">
        <f>+(2.76+2.37+1.1+1.73+1.56+4.2+1.06+1.78+5.15+2.42+10.46+1.33+1.71+1.95+1.71+1.22+5.11+1.22)*1.2</f>
        <v>58.608000000000004</v>
      </c>
      <c r="E163" s="594"/>
      <c r="F163" s="591"/>
    </row>
    <row r="164" spans="1:6" ht="15" customHeight="1" x14ac:dyDescent="0.3">
      <c r="A164" s="78" t="s">
        <v>28</v>
      </c>
      <c r="B164" s="214" t="s">
        <v>268</v>
      </c>
      <c r="C164" s="185"/>
      <c r="D164" s="165"/>
      <c r="E164" s="185"/>
      <c r="F164" s="591"/>
    </row>
    <row r="165" spans="1:6" ht="15" customHeight="1" x14ac:dyDescent="0.3">
      <c r="A165" s="147" t="s">
        <v>87</v>
      </c>
      <c r="B165" s="215" t="s">
        <v>270</v>
      </c>
      <c r="C165" s="216"/>
      <c r="D165" s="166"/>
      <c r="E165" s="216"/>
      <c r="F165" s="591"/>
    </row>
    <row r="166" spans="1:6" ht="15" customHeight="1" x14ac:dyDescent="0.3">
      <c r="A166" s="148" t="s">
        <v>282</v>
      </c>
      <c r="B166" s="216" t="s">
        <v>269</v>
      </c>
      <c r="C166" s="163" t="s">
        <v>18</v>
      </c>
      <c r="D166" s="169">
        <v>7</v>
      </c>
      <c r="E166" s="216"/>
      <c r="F166" s="591"/>
    </row>
    <row r="167" spans="1:6" ht="15" customHeight="1" x14ac:dyDescent="0.3">
      <c r="A167" s="148" t="s">
        <v>283</v>
      </c>
      <c r="B167" s="216" t="s">
        <v>274</v>
      </c>
      <c r="C167" s="163" t="s">
        <v>18</v>
      </c>
      <c r="D167" s="169">
        <v>1</v>
      </c>
      <c r="E167" s="216"/>
      <c r="F167" s="591"/>
    </row>
    <row r="168" spans="1:6" ht="15" customHeight="1" x14ac:dyDescent="0.3">
      <c r="A168" s="135" t="s">
        <v>89</v>
      </c>
      <c r="B168" s="217" t="s">
        <v>271</v>
      </c>
      <c r="C168" s="185"/>
      <c r="D168" s="165"/>
      <c r="E168" s="185"/>
      <c r="F168" s="591"/>
    </row>
    <row r="169" spans="1:6" ht="15" customHeight="1" x14ac:dyDescent="0.3">
      <c r="A169" s="136" t="s">
        <v>284</v>
      </c>
      <c r="B169" s="113" t="s">
        <v>272</v>
      </c>
      <c r="C169" s="60" t="s">
        <v>18</v>
      </c>
      <c r="D169" s="131">
        <f>1+1+1+1</f>
        <v>4</v>
      </c>
      <c r="E169" s="594"/>
      <c r="F169" s="591"/>
    </row>
    <row r="170" spans="1:6" ht="15" customHeight="1" x14ac:dyDescent="0.3">
      <c r="A170" s="136" t="s">
        <v>285</v>
      </c>
      <c r="B170" s="113" t="s">
        <v>273</v>
      </c>
      <c r="C170" s="60" t="s">
        <v>18</v>
      </c>
      <c r="D170" s="131">
        <f>1+1</f>
        <v>2</v>
      </c>
      <c r="E170" s="594"/>
      <c r="F170" s="591"/>
    </row>
    <row r="171" spans="1:6" ht="15" customHeight="1" x14ac:dyDescent="0.3">
      <c r="A171" s="136" t="s">
        <v>286</v>
      </c>
      <c r="B171" s="113" t="s">
        <v>424</v>
      </c>
      <c r="C171" s="60" t="s">
        <v>18</v>
      </c>
      <c r="D171" s="131">
        <f>1+1</f>
        <v>2</v>
      </c>
      <c r="E171" s="594"/>
      <c r="F171" s="591"/>
    </row>
    <row r="172" spans="1:6" ht="15" customHeight="1" x14ac:dyDescent="0.3">
      <c r="A172" s="135" t="s">
        <v>90</v>
      </c>
      <c r="B172" s="127" t="s">
        <v>275</v>
      </c>
      <c r="C172" s="60"/>
      <c r="D172" s="131"/>
      <c r="E172" s="594"/>
      <c r="F172" s="591"/>
    </row>
    <row r="173" spans="1:6" ht="15" customHeight="1" x14ac:dyDescent="0.3">
      <c r="A173" s="136" t="s">
        <v>287</v>
      </c>
      <c r="B173" s="113" t="s">
        <v>276</v>
      </c>
      <c r="C173" s="60" t="s">
        <v>18</v>
      </c>
      <c r="D173" s="131">
        <v>8</v>
      </c>
      <c r="E173" s="594"/>
      <c r="F173" s="591"/>
    </row>
    <row r="174" spans="1:6" ht="15" customHeight="1" x14ac:dyDescent="0.3">
      <c r="A174" s="136" t="s">
        <v>288</v>
      </c>
      <c r="B174" s="113" t="s">
        <v>277</v>
      </c>
      <c r="C174" s="60" t="s">
        <v>18</v>
      </c>
      <c r="D174" s="131">
        <v>6</v>
      </c>
      <c r="E174" s="594"/>
      <c r="F174" s="591"/>
    </row>
    <row r="175" spans="1:6" ht="15" customHeight="1" x14ac:dyDescent="0.3">
      <c r="A175" s="136" t="s">
        <v>289</v>
      </c>
      <c r="B175" s="113" t="s">
        <v>278</v>
      </c>
      <c r="C175" s="60" t="s">
        <v>18</v>
      </c>
      <c r="D175" s="131">
        <v>1</v>
      </c>
      <c r="E175" s="594"/>
      <c r="F175" s="591"/>
    </row>
    <row r="176" spans="1:6" ht="15" customHeight="1" x14ac:dyDescent="0.3">
      <c r="A176" s="136" t="s">
        <v>290</v>
      </c>
      <c r="B176" s="113" t="s">
        <v>279</v>
      </c>
      <c r="C176" s="60" t="s">
        <v>18</v>
      </c>
      <c r="D176" s="131">
        <v>2</v>
      </c>
      <c r="E176" s="594"/>
      <c r="F176" s="591"/>
    </row>
    <row r="177" spans="1:6" ht="15" customHeight="1" x14ac:dyDescent="0.3">
      <c r="A177" s="135" t="s">
        <v>29</v>
      </c>
      <c r="B177" s="111" t="s">
        <v>232</v>
      </c>
      <c r="C177" s="60"/>
      <c r="D177" s="131"/>
      <c r="E177" s="594"/>
      <c r="F177" s="591"/>
    </row>
    <row r="178" spans="1:6" ht="15" customHeight="1" x14ac:dyDescent="0.3">
      <c r="A178" s="65" t="s">
        <v>91</v>
      </c>
      <c r="B178" s="113" t="s">
        <v>265</v>
      </c>
      <c r="C178" s="60" t="s">
        <v>54</v>
      </c>
      <c r="D178" s="131">
        <v>1</v>
      </c>
      <c r="E178" s="594"/>
      <c r="F178" s="591"/>
    </row>
    <row r="179" spans="1:6" ht="15" customHeight="1" thickBot="1" x14ac:dyDescent="0.35">
      <c r="A179" s="65"/>
      <c r="B179" s="113"/>
      <c r="C179" s="60"/>
      <c r="D179" s="131"/>
      <c r="E179" s="80"/>
      <c r="F179" s="119"/>
    </row>
    <row r="180" spans="1:6" ht="15" customHeight="1" thickBot="1" x14ac:dyDescent="0.35">
      <c r="A180" s="821" t="s">
        <v>291</v>
      </c>
      <c r="B180" s="822"/>
      <c r="C180" s="822"/>
      <c r="D180" s="822"/>
      <c r="E180" s="823"/>
      <c r="F180" s="589"/>
    </row>
    <row r="181" spans="1:6" ht="15" customHeight="1" x14ac:dyDescent="0.3">
      <c r="A181" s="65"/>
      <c r="B181" s="113"/>
      <c r="C181" s="60"/>
      <c r="D181" s="218"/>
      <c r="E181" s="80"/>
      <c r="F181" s="119"/>
    </row>
    <row r="182" spans="1:6" ht="15" customHeight="1" x14ac:dyDescent="0.3">
      <c r="A182" s="58" t="s">
        <v>292</v>
      </c>
      <c r="B182" s="99" t="s">
        <v>293</v>
      </c>
      <c r="C182" s="60"/>
      <c r="D182" s="131"/>
      <c r="E182" s="51"/>
      <c r="F182" s="89"/>
    </row>
    <row r="183" spans="1:6" ht="15" customHeight="1" x14ac:dyDescent="0.3">
      <c r="A183" s="65"/>
      <c r="B183" s="113"/>
      <c r="C183" s="60"/>
      <c r="D183" s="218"/>
      <c r="E183" s="80"/>
      <c r="F183" s="119"/>
    </row>
    <row r="184" spans="1:6" ht="15" customHeight="1" x14ac:dyDescent="0.3">
      <c r="A184" s="64" t="s">
        <v>294</v>
      </c>
      <c r="B184" s="111" t="s">
        <v>295</v>
      </c>
      <c r="C184" s="60"/>
      <c r="D184" s="131"/>
      <c r="E184" s="80"/>
      <c r="F184" s="119"/>
    </row>
    <row r="185" spans="1:6" ht="15" customHeight="1" x14ac:dyDescent="0.3">
      <c r="A185" s="64" t="s">
        <v>296</v>
      </c>
      <c r="B185" s="127" t="s">
        <v>297</v>
      </c>
      <c r="C185" s="60"/>
      <c r="D185" s="218"/>
      <c r="E185" s="80"/>
      <c r="F185" s="119"/>
    </row>
    <row r="186" spans="1:6" ht="15" customHeight="1" x14ac:dyDescent="0.3">
      <c r="A186" s="65" t="s">
        <v>298</v>
      </c>
      <c r="B186" s="113" t="s">
        <v>301</v>
      </c>
      <c r="C186" s="60" t="s">
        <v>18</v>
      </c>
      <c r="D186" s="131">
        <v>1</v>
      </c>
      <c r="E186" s="594"/>
      <c r="F186" s="591"/>
    </row>
    <row r="187" spans="1:6" ht="15" customHeight="1" x14ac:dyDescent="0.3">
      <c r="A187" s="65" t="s">
        <v>299</v>
      </c>
      <c r="B187" s="113" t="s">
        <v>302</v>
      </c>
      <c r="C187" s="60" t="s">
        <v>18</v>
      </c>
      <c r="D187" s="131">
        <v>1</v>
      </c>
      <c r="E187" s="594"/>
      <c r="F187" s="591"/>
    </row>
    <row r="188" spans="1:6" ht="15" customHeight="1" x14ac:dyDescent="0.3">
      <c r="A188" s="64" t="s">
        <v>305</v>
      </c>
      <c r="B188" s="127" t="s">
        <v>300</v>
      </c>
      <c r="C188" s="60"/>
      <c r="D188" s="131"/>
      <c r="E188" s="594"/>
      <c r="F188" s="591"/>
    </row>
    <row r="189" spans="1:6" ht="15" customHeight="1" x14ac:dyDescent="0.3">
      <c r="A189" s="65" t="s">
        <v>306</v>
      </c>
      <c r="B189" s="113" t="s">
        <v>303</v>
      </c>
      <c r="C189" s="60" t="s">
        <v>18</v>
      </c>
      <c r="D189" s="131">
        <v>3</v>
      </c>
      <c r="E189" s="594"/>
      <c r="F189" s="591"/>
    </row>
    <row r="190" spans="1:6" ht="15" customHeight="1" x14ac:dyDescent="0.3">
      <c r="A190" s="65" t="s">
        <v>307</v>
      </c>
      <c r="B190" s="113" t="s">
        <v>304</v>
      </c>
      <c r="C190" s="60" t="s">
        <v>18</v>
      </c>
      <c r="D190" s="131">
        <v>1</v>
      </c>
      <c r="E190" s="594"/>
      <c r="F190" s="591"/>
    </row>
    <row r="191" spans="1:6" ht="15" customHeight="1" thickBot="1" x14ac:dyDescent="0.35">
      <c r="A191" s="65"/>
      <c r="B191" s="113"/>
      <c r="C191" s="60"/>
      <c r="D191" s="218"/>
      <c r="E191" s="80"/>
      <c r="F191" s="119"/>
    </row>
    <row r="192" spans="1:6" ht="15" customHeight="1" thickBot="1" x14ac:dyDescent="0.35">
      <c r="A192" s="821" t="s">
        <v>308</v>
      </c>
      <c r="B192" s="822"/>
      <c r="C192" s="822"/>
      <c r="D192" s="822"/>
      <c r="E192" s="823"/>
      <c r="F192" s="586"/>
    </row>
    <row r="193" spans="1:6" ht="15" customHeight="1" x14ac:dyDescent="0.3">
      <c r="A193" s="65"/>
      <c r="B193" s="113"/>
      <c r="C193" s="60"/>
      <c r="D193" s="218"/>
      <c r="E193" s="80"/>
      <c r="F193" s="119"/>
    </row>
    <row r="194" spans="1:6" ht="15" customHeight="1" x14ac:dyDescent="0.3">
      <c r="A194" s="58" t="s">
        <v>309</v>
      </c>
      <c r="B194" s="99" t="s">
        <v>310</v>
      </c>
      <c r="C194" s="60"/>
      <c r="D194" s="131"/>
      <c r="E194" s="51"/>
      <c r="F194" s="89"/>
    </row>
    <row r="195" spans="1:6" ht="15" customHeight="1" x14ac:dyDescent="0.3">
      <c r="A195" s="65"/>
      <c r="B195" s="113"/>
      <c r="C195" s="60"/>
      <c r="D195" s="218"/>
      <c r="E195" s="80"/>
      <c r="F195" s="119"/>
    </row>
    <row r="196" spans="1:6" ht="15" customHeight="1" x14ac:dyDescent="0.3">
      <c r="A196" s="64" t="s">
        <v>48</v>
      </c>
      <c r="B196" s="111" t="s">
        <v>88</v>
      </c>
      <c r="C196" s="60"/>
      <c r="D196" s="131"/>
      <c r="E196" s="80"/>
      <c r="F196" s="119"/>
    </row>
    <row r="197" spans="1:6" ht="15" customHeight="1" x14ac:dyDescent="0.3">
      <c r="A197" s="64" t="s">
        <v>49</v>
      </c>
      <c r="B197" s="127" t="s">
        <v>311</v>
      </c>
      <c r="C197" s="60"/>
      <c r="D197" s="218"/>
      <c r="E197" s="80"/>
      <c r="F197" s="119"/>
    </row>
    <row r="198" spans="1:6" ht="15" customHeight="1" x14ac:dyDescent="0.3">
      <c r="A198" s="65" t="s">
        <v>313</v>
      </c>
      <c r="B198" s="113" t="s">
        <v>312</v>
      </c>
      <c r="C198" s="60" t="s">
        <v>414</v>
      </c>
      <c r="D198" s="131">
        <v>1</v>
      </c>
      <c r="E198" s="393"/>
      <c r="F198" s="590"/>
    </row>
    <row r="199" spans="1:6" ht="15" customHeight="1" x14ac:dyDescent="0.3">
      <c r="A199" s="64" t="s">
        <v>316</v>
      </c>
      <c r="B199" s="111" t="s">
        <v>314</v>
      </c>
      <c r="C199" s="60"/>
      <c r="D199" s="131"/>
      <c r="E199" s="393"/>
      <c r="F199" s="590"/>
    </row>
    <row r="200" spans="1:6" ht="15" customHeight="1" x14ac:dyDescent="0.3">
      <c r="A200" s="65" t="s">
        <v>319</v>
      </c>
      <c r="B200" s="113" t="s">
        <v>315</v>
      </c>
      <c r="C200" s="60" t="s">
        <v>15</v>
      </c>
      <c r="D200" s="131">
        <f>+(8.29+2*0.3+3)*1.2</f>
        <v>14.267999999999999</v>
      </c>
      <c r="E200" s="393"/>
      <c r="F200" s="590"/>
    </row>
    <row r="201" spans="1:6" ht="15" customHeight="1" x14ac:dyDescent="0.3">
      <c r="A201" s="65" t="s">
        <v>320</v>
      </c>
      <c r="B201" s="113" t="s">
        <v>318</v>
      </c>
      <c r="C201" s="60" t="s">
        <v>15</v>
      </c>
      <c r="D201" s="131">
        <f>+D200</f>
        <v>14.267999999999999</v>
      </c>
      <c r="E201" s="393"/>
      <c r="F201" s="590"/>
    </row>
    <row r="202" spans="1:6" ht="15" customHeight="1" x14ac:dyDescent="0.3">
      <c r="A202" s="65" t="s">
        <v>321</v>
      </c>
      <c r="B202" s="113" t="s">
        <v>317</v>
      </c>
      <c r="C202" s="60" t="s">
        <v>18</v>
      </c>
      <c r="D202" s="131">
        <v>1</v>
      </c>
      <c r="E202" s="393"/>
      <c r="F202" s="590"/>
    </row>
    <row r="203" spans="1:6" ht="15" customHeight="1" x14ac:dyDescent="0.3">
      <c r="A203" s="64" t="s">
        <v>323</v>
      </c>
      <c r="B203" s="111" t="s">
        <v>322</v>
      </c>
      <c r="C203" s="60"/>
      <c r="D203" s="131"/>
      <c r="E203" s="393"/>
      <c r="F203" s="590"/>
    </row>
    <row r="204" spans="1:6" ht="15" customHeight="1" x14ac:dyDescent="0.3">
      <c r="A204" s="65" t="s">
        <v>325</v>
      </c>
      <c r="B204" s="113" t="s">
        <v>324</v>
      </c>
      <c r="C204" s="60" t="s">
        <v>18</v>
      </c>
      <c r="D204" s="131">
        <v>2</v>
      </c>
      <c r="E204" s="393"/>
      <c r="F204" s="590"/>
    </row>
    <row r="205" spans="1:6" ht="15" customHeight="1" thickBot="1" x14ac:dyDescent="0.35">
      <c r="A205" s="65"/>
      <c r="B205" s="113"/>
      <c r="C205" s="60"/>
      <c r="D205" s="218"/>
      <c r="E205" s="80"/>
      <c r="F205" s="119"/>
    </row>
    <row r="206" spans="1:6" ht="15" customHeight="1" thickBot="1" x14ac:dyDescent="0.35">
      <c r="A206" s="821" t="s">
        <v>326</v>
      </c>
      <c r="B206" s="822"/>
      <c r="C206" s="822"/>
      <c r="D206" s="822"/>
      <c r="E206" s="823"/>
      <c r="F206" s="586"/>
    </row>
    <row r="207" spans="1:6" ht="15" customHeight="1" x14ac:dyDescent="0.3">
      <c r="A207" s="65"/>
      <c r="B207" s="113"/>
      <c r="C207" s="60"/>
      <c r="D207" s="218"/>
      <c r="E207" s="80"/>
      <c r="F207" s="119"/>
    </row>
    <row r="208" spans="1:6" ht="15" customHeight="1" x14ac:dyDescent="0.3">
      <c r="A208" s="58" t="s">
        <v>327</v>
      </c>
      <c r="B208" s="99" t="s">
        <v>328</v>
      </c>
      <c r="C208" s="60"/>
      <c r="D208" s="131"/>
      <c r="E208" s="51"/>
      <c r="F208" s="89"/>
    </row>
    <row r="209" spans="1:6" ht="15" customHeight="1" x14ac:dyDescent="0.3">
      <c r="A209" s="65"/>
      <c r="B209" s="113"/>
      <c r="C209" s="60"/>
      <c r="D209" s="218"/>
      <c r="E209" s="80"/>
      <c r="F209" s="119"/>
    </row>
    <row r="210" spans="1:6" ht="15" customHeight="1" x14ac:dyDescent="0.3">
      <c r="A210" s="64" t="s">
        <v>93</v>
      </c>
      <c r="B210" s="111" t="s">
        <v>329</v>
      </c>
      <c r="C210" s="60"/>
      <c r="D210" s="218"/>
      <c r="E210" s="80"/>
      <c r="F210" s="119"/>
    </row>
    <row r="211" spans="1:6" ht="15" customHeight="1" x14ac:dyDescent="0.3">
      <c r="A211" s="64" t="s">
        <v>94</v>
      </c>
      <c r="B211" s="127" t="s">
        <v>330</v>
      </c>
      <c r="C211" s="60"/>
      <c r="D211" s="218"/>
      <c r="E211" s="80"/>
      <c r="F211" s="119"/>
    </row>
    <row r="212" spans="1:6" ht="24.9" customHeight="1" x14ac:dyDescent="0.3">
      <c r="A212" s="66" t="s">
        <v>332</v>
      </c>
      <c r="B212" s="69" t="s">
        <v>718</v>
      </c>
      <c r="C212" s="62" t="s">
        <v>18</v>
      </c>
      <c r="D212" s="70">
        <v>2</v>
      </c>
      <c r="E212" s="383"/>
      <c r="F212" s="591"/>
    </row>
    <row r="213" spans="1:6" ht="15" customHeight="1" thickBot="1" x14ac:dyDescent="0.35">
      <c r="A213" s="65"/>
      <c r="B213" s="113"/>
      <c r="C213" s="60"/>
      <c r="D213" s="218"/>
      <c r="E213" s="80"/>
      <c r="F213" s="591"/>
    </row>
    <row r="214" spans="1:6" ht="15" customHeight="1" thickBot="1" x14ac:dyDescent="0.35">
      <c r="A214" s="821" t="s">
        <v>333</v>
      </c>
      <c r="B214" s="822"/>
      <c r="C214" s="822"/>
      <c r="D214" s="822"/>
      <c r="E214" s="823"/>
      <c r="F214" s="586"/>
    </row>
    <row r="215" spans="1:6" ht="15" customHeight="1" x14ac:dyDescent="0.3">
      <c r="A215" s="65"/>
      <c r="B215" s="113"/>
      <c r="C215" s="60"/>
      <c r="D215" s="218"/>
      <c r="E215" s="80"/>
      <c r="F215" s="119"/>
    </row>
    <row r="216" spans="1:6" ht="15" customHeight="1" x14ac:dyDescent="0.3">
      <c r="A216" s="58" t="s">
        <v>334</v>
      </c>
      <c r="B216" s="99" t="s">
        <v>335</v>
      </c>
      <c r="C216" s="60"/>
      <c r="D216" s="131"/>
      <c r="E216" s="51"/>
      <c r="F216" s="89"/>
    </row>
    <row r="217" spans="1:6" ht="15" customHeight="1" x14ac:dyDescent="0.3">
      <c r="A217" s="65"/>
      <c r="B217" s="113"/>
      <c r="C217" s="60"/>
      <c r="D217" s="218"/>
      <c r="E217" s="80"/>
      <c r="F217" s="119"/>
    </row>
    <row r="218" spans="1:6" ht="15" customHeight="1" x14ac:dyDescent="0.3">
      <c r="A218" s="64" t="s">
        <v>69</v>
      </c>
      <c r="B218" s="111" t="s">
        <v>336</v>
      </c>
      <c r="C218" s="60"/>
      <c r="D218" s="218"/>
      <c r="E218" s="80"/>
      <c r="F218" s="119"/>
    </row>
    <row r="219" spans="1:6" ht="15" customHeight="1" x14ac:dyDescent="0.3">
      <c r="A219" s="64" t="s">
        <v>70</v>
      </c>
      <c r="B219" s="127" t="s">
        <v>337</v>
      </c>
      <c r="C219" s="60"/>
      <c r="D219" s="218"/>
      <c r="E219" s="80"/>
      <c r="F219" s="119"/>
    </row>
    <row r="220" spans="1:6" ht="15" customHeight="1" x14ac:dyDescent="0.3">
      <c r="A220" s="65" t="s">
        <v>342</v>
      </c>
      <c r="B220" s="113" t="s">
        <v>671</v>
      </c>
      <c r="C220" s="163" t="s">
        <v>131</v>
      </c>
      <c r="D220" s="131">
        <f>10.97+8.63+14.68+8.79</f>
        <v>43.07</v>
      </c>
      <c r="E220" s="393"/>
      <c r="F220" s="591"/>
    </row>
    <row r="221" spans="1:6" ht="15" customHeight="1" x14ac:dyDescent="0.3">
      <c r="A221" s="65" t="s">
        <v>343</v>
      </c>
      <c r="B221" s="113" t="s">
        <v>338</v>
      </c>
      <c r="C221" s="163" t="s">
        <v>131</v>
      </c>
      <c r="D221" s="131">
        <f>2*2.4</f>
        <v>4.8</v>
      </c>
      <c r="E221" s="393"/>
      <c r="F221" s="591"/>
    </row>
    <row r="222" spans="1:6" ht="15" customHeight="1" x14ac:dyDescent="0.3">
      <c r="A222" s="65" t="s">
        <v>344</v>
      </c>
      <c r="B222" s="113" t="s">
        <v>339</v>
      </c>
      <c r="C222" s="60" t="s">
        <v>15</v>
      </c>
      <c r="D222" s="131">
        <f>+((13.28-0.9)+(15.14-(2*0.9+0.8))+(17.64-(0.9+0.8))+4.58+(2*1.68)+(0.28*4)+(0.18*6))</f>
        <v>50.999999999999993</v>
      </c>
      <c r="E222" s="393"/>
      <c r="F222" s="591"/>
    </row>
    <row r="223" spans="1:6" ht="15" customHeight="1" x14ac:dyDescent="0.3">
      <c r="A223" s="64" t="s">
        <v>345</v>
      </c>
      <c r="B223" s="111" t="s">
        <v>340</v>
      </c>
      <c r="C223" s="60"/>
      <c r="D223" s="131"/>
      <c r="E223" s="393"/>
      <c r="F223" s="591"/>
    </row>
    <row r="224" spans="1:6" ht="15" customHeight="1" x14ac:dyDescent="0.3">
      <c r="A224" s="64" t="s">
        <v>346</v>
      </c>
      <c r="B224" s="127" t="s">
        <v>341</v>
      </c>
      <c r="C224" s="60"/>
      <c r="D224" s="131"/>
      <c r="E224" s="393"/>
      <c r="F224" s="591"/>
    </row>
    <row r="225" spans="1:6" ht="15" customHeight="1" x14ac:dyDescent="0.3">
      <c r="A225" s="65" t="s">
        <v>347</v>
      </c>
      <c r="B225" s="113" t="s">
        <v>429</v>
      </c>
      <c r="C225" s="163" t="s">
        <v>131</v>
      </c>
      <c r="D225" s="131">
        <f>(6.4-0.8)*2.2*2</f>
        <v>24.640000000000004</v>
      </c>
      <c r="E225" s="393"/>
      <c r="F225" s="591"/>
    </row>
    <row r="226" spans="1:6" ht="15" customHeight="1" thickBot="1" x14ac:dyDescent="0.35">
      <c r="A226" s="65"/>
      <c r="B226" s="113"/>
      <c r="C226" s="60"/>
      <c r="D226" s="218"/>
      <c r="E226" s="80"/>
      <c r="F226" s="119"/>
    </row>
    <row r="227" spans="1:6" ht="15" customHeight="1" thickBot="1" x14ac:dyDescent="0.35">
      <c r="A227" s="821" t="s">
        <v>348</v>
      </c>
      <c r="B227" s="822"/>
      <c r="C227" s="822"/>
      <c r="D227" s="822"/>
      <c r="E227" s="823"/>
      <c r="F227" s="586"/>
    </row>
    <row r="228" spans="1:6" ht="15" customHeight="1" x14ac:dyDescent="0.3">
      <c r="A228" s="65"/>
      <c r="B228" s="113"/>
      <c r="C228" s="60"/>
      <c r="D228" s="218"/>
      <c r="E228" s="80"/>
      <c r="F228" s="119"/>
    </row>
    <row r="229" spans="1:6" ht="15" customHeight="1" x14ac:dyDescent="0.3">
      <c r="A229" s="58" t="s">
        <v>349</v>
      </c>
      <c r="B229" s="99" t="s">
        <v>350</v>
      </c>
      <c r="C229" s="60"/>
      <c r="D229" s="131"/>
      <c r="E229" s="51"/>
      <c r="F229" s="89"/>
    </row>
    <row r="230" spans="1:6" ht="15" customHeight="1" x14ac:dyDescent="0.3">
      <c r="A230" s="65"/>
      <c r="B230" s="113"/>
      <c r="C230" s="60"/>
      <c r="D230" s="218"/>
      <c r="E230" s="80"/>
      <c r="F230" s="119"/>
    </row>
    <row r="231" spans="1:6" ht="15" customHeight="1" x14ac:dyDescent="0.3">
      <c r="A231" s="64" t="s">
        <v>32</v>
      </c>
      <c r="B231" s="111" t="s">
        <v>354</v>
      </c>
      <c r="C231" s="60"/>
      <c r="D231" s="218"/>
      <c r="E231" s="80"/>
      <c r="F231" s="119"/>
    </row>
    <row r="232" spans="1:6" ht="15" customHeight="1" x14ac:dyDescent="0.3">
      <c r="A232" s="64" t="s">
        <v>41</v>
      </c>
      <c r="B232" s="127" t="s">
        <v>355</v>
      </c>
      <c r="C232" s="60"/>
      <c r="D232" s="131"/>
      <c r="E232" s="80"/>
      <c r="F232" s="119"/>
    </row>
    <row r="233" spans="1:6" ht="24.9" customHeight="1" x14ac:dyDescent="0.3">
      <c r="A233" s="66" t="s">
        <v>356</v>
      </c>
      <c r="B233" s="69" t="s">
        <v>426</v>
      </c>
      <c r="C233" s="62" t="s">
        <v>18</v>
      </c>
      <c r="D233" s="70">
        <v>1</v>
      </c>
      <c r="E233" s="383"/>
      <c r="F233" s="591"/>
    </row>
    <row r="234" spans="1:6" ht="24.9" customHeight="1" x14ac:dyDescent="0.3">
      <c r="A234" s="66" t="s">
        <v>357</v>
      </c>
      <c r="B234" s="69" t="s">
        <v>362</v>
      </c>
      <c r="C234" s="62" t="s">
        <v>18</v>
      </c>
      <c r="D234" s="70">
        <f>1+1</f>
        <v>2</v>
      </c>
      <c r="E234" s="383"/>
      <c r="F234" s="591"/>
    </row>
    <row r="235" spans="1:6" ht="24.9" customHeight="1" x14ac:dyDescent="0.3">
      <c r="A235" s="66" t="s">
        <v>427</v>
      </c>
      <c r="B235" s="69" t="s">
        <v>363</v>
      </c>
      <c r="C235" s="60" t="s">
        <v>18</v>
      </c>
      <c r="D235" s="131">
        <f>1+1</f>
        <v>2</v>
      </c>
      <c r="E235" s="393"/>
      <c r="F235" s="591"/>
    </row>
    <row r="236" spans="1:6" ht="15" customHeight="1" x14ac:dyDescent="0.3">
      <c r="A236" s="64" t="s">
        <v>33</v>
      </c>
      <c r="B236" s="127" t="s">
        <v>358</v>
      </c>
      <c r="C236" s="60" t="s">
        <v>6</v>
      </c>
      <c r="D236" s="219"/>
      <c r="E236" s="393"/>
      <c r="F236" s="591"/>
    </row>
    <row r="237" spans="1:6" ht="24.9" customHeight="1" x14ac:dyDescent="0.3">
      <c r="A237" s="66" t="s">
        <v>359</v>
      </c>
      <c r="B237" s="69" t="s">
        <v>353</v>
      </c>
      <c r="C237" s="62" t="s">
        <v>18</v>
      </c>
      <c r="D237" s="70">
        <v>5</v>
      </c>
      <c r="E237" s="383"/>
      <c r="F237" s="591"/>
    </row>
    <row r="238" spans="1:6" ht="24.9" customHeight="1" x14ac:dyDescent="0.3">
      <c r="A238" s="66" t="s">
        <v>360</v>
      </c>
      <c r="B238" s="69" t="s">
        <v>352</v>
      </c>
      <c r="C238" s="62" t="s">
        <v>18</v>
      </c>
      <c r="D238" s="70">
        <v>1</v>
      </c>
      <c r="E238" s="383"/>
      <c r="F238" s="591"/>
    </row>
    <row r="239" spans="1:6" ht="24.9" customHeight="1" x14ac:dyDescent="0.3">
      <c r="A239" s="66" t="s">
        <v>361</v>
      </c>
      <c r="B239" s="69" t="s">
        <v>351</v>
      </c>
      <c r="C239" s="62" t="s">
        <v>18</v>
      </c>
      <c r="D239" s="70">
        <v>2</v>
      </c>
      <c r="E239" s="383"/>
      <c r="F239" s="591"/>
    </row>
    <row r="240" spans="1:6" ht="15" customHeight="1" x14ac:dyDescent="0.3">
      <c r="A240" s="64" t="s">
        <v>34</v>
      </c>
      <c r="B240" s="111" t="s">
        <v>50</v>
      </c>
      <c r="C240" s="60"/>
      <c r="D240" s="131"/>
      <c r="E240" s="393"/>
      <c r="F240" s="591"/>
    </row>
    <row r="241" spans="1:6" ht="24.9" customHeight="1" x14ac:dyDescent="0.3">
      <c r="A241" s="66" t="s">
        <v>68</v>
      </c>
      <c r="B241" s="69" t="s">
        <v>364</v>
      </c>
      <c r="C241" s="482" t="s">
        <v>131</v>
      </c>
      <c r="D241" s="70">
        <f>2*2.8</f>
        <v>5.6</v>
      </c>
      <c r="E241" s="383"/>
      <c r="F241" s="591"/>
    </row>
    <row r="242" spans="1:6" ht="15" customHeight="1" thickBot="1" x14ac:dyDescent="0.35">
      <c r="A242" s="700"/>
      <c r="B242" s="717"/>
      <c r="C242" s="718"/>
      <c r="D242" s="719"/>
      <c r="E242" s="207"/>
      <c r="F242" s="115"/>
    </row>
    <row r="243" spans="1:6" ht="15" customHeight="1" thickBot="1" x14ac:dyDescent="0.35">
      <c r="A243" s="821" t="s">
        <v>366</v>
      </c>
      <c r="B243" s="822"/>
      <c r="C243" s="822"/>
      <c r="D243" s="822"/>
      <c r="E243" s="823"/>
      <c r="F243" s="586"/>
    </row>
    <row r="244" spans="1:6" ht="15" customHeight="1" x14ac:dyDescent="0.3">
      <c r="A244" s="54"/>
      <c r="B244" s="111"/>
      <c r="C244" s="60"/>
      <c r="D244" s="218"/>
      <c r="E244" s="80"/>
      <c r="F244" s="112"/>
    </row>
    <row r="245" spans="1:6" ht="15" customHeight="1" x14ac:dyDescent="0.3">
      <c r="A245" s="58" t="s">
        <v>367</v>
      </c>
      <c r="B245" s="99" t="s">
        <v>368</v>
      </c>
      <c r="C245" s="60"/>
      <c r="D245" s="131"/>
      <c r="E245" s="51"/>
      <c r="F245" s="89"/>
    </row>
    <row r="246" spans="1:6" ht="15" customHeight="1" x14ac:dyDescent="0.3">
      <c r="A246" s="54"/>
      <c r="B246" s="111"/>
      <c r="C246" s="60"/>
      <c r="D246" s="218"/>
      <c r="E246" s="80"/>
      <c r="F246" s="112"/>
    </row>
    <row r="247" spans="1:6" ht="15" customHeight="1" x14ac:dyDescent="0.3">
      <c r="A247" s="64" t="s">
        <v>64</v>
      </c>
      <c r="B247" s="111" t="s">
        <v>369</v>
      </c>
      <c r="C247" s="60"/>
      <c r="D247" s="218"/>
      <c r="E247" s="80"/>
      <c r="F247" s="119"/>
    </row>
    <row r="248" spans="1:6" ht="24.9" customHeight="1" x14ac:dyDescent="0.3">
      <c r="A248" s="66" t="s">
        <v>65</v>
      </c>
      <c r="B248" s="69" t="s">
        <v>370</v>
      </c>
      <c r="C248" s="163" t="s">
        <v>131</v>
      </c>
      <c r="D248" s="70">
        <f>+D220</f>
        <v>43.07</v>
      </c>
      <c r="E248" s="383"/>
      <c r="F248" s="591"/>
    </row>
    <row r="249" spans="1:6" ht="15" customHeight="1" x14ac:dyDescent="0.3">
      <c r="A249" s="64" t="s">
        <v>66</v>
      </c>
      <c r="B249" s="111" t="s">
        <v>704</v>
      </c>
      <c r="C249" s="60"/>
      <c r="D249" s="131"/>
      <c r="E249" s="393"/>
      <c r="F249" s="591"/>
    </row>
    <row r="250" spans="1:6" ht="24.9" customHeight="1" x14ac:dyDescent="0.3">
      <c r="A250" s="66" t="s">
        <v>67</v>
      </c>
      <c r="B250" s="69" t="s">
        <v>672</v>
      </c>
      <c r="C250" s="163" t="s">
        <v>131</v>
      </c>
      <c r="D250" s="70">
        <f>(4*5.89+2*6.78)*0.6</f>
        <v>22.271999999999998</v>
      </c>
      <c r="E250" s="383"/>
      <c r="F250" s="591"/>
    </row>
    <row r="251" spans="1:6" ht="15" customHeight="1" thickBot="1" x14ac:dyDescent="0.35">
      <c r="A251" s="64"/>
      <c r="B251" s="111"/>
      <c r="C251" s="60"/>
      <c r="D251" s="218"/>
      <c r="E251" s="80"/>
      <c r="F251" s="119"/>
    </row>
    <row r="252" spans="1:6" ht="15" customHeight="1" thickBot="1" x14ac:dyDescent="0.35">
      <c r="A252" s="821" t="s">
        <v>371</v>
      </c>
      <c r="B252" s="822"/>
      <c r="C252" s="822"/>
      <c r="D252" s="822"/>
      <c r="E252" s="823"/>
      <c r="F252" s="586"/>
    </row>
    <row r="253" spans="1:6" ht="15" customHeight="1" x14ac:dyDescent="0.3">
      <c r="A253" s="64"/>
      <c r="B253" s="111"/>
      <c r="C253" s="60"/>
      <c r="D253" s="218"/>
      <c r="E253" s="80"/>
      <c r="F253" s="119"/>
    </row>
    <row r="254" spans="1:6" ht="15" customHeight="1" x14ac:dyDescent="0.3">
      <c r="A254" s="58" t="s">
        <v>372</v>
      </c>
      <c r="B254" s="99" t="s">
        <v>373</v>
      </c>
      <c r="C254" s="60"/>
      <c r="D254" s="131"/>
      <c r="E254" s="51"/>
      <c r="F254" s="89"/>
    </row>
    <row r="255" spans="1:6" ht="15" customHeight="1" x14ac:dyDescent="0.3">
      <c r="A255" s="64"/>
      <c r="B255" s="111"/>
      <c r="C255" s="60"/>
      <c r="D255" s="218"/>
      <c r="E255" s="80"/>
      <c r="F255" s="119"/>
    </row>
    <row r="256" spans="1:6" ht="15" customHeight="1" x14ac:dyDescent="0.3">
      <c r="A256" s="64" t="s">
        <v>35</v>
      </c>
      <c r="B256" s="111" t="s">
        <v>374</v>
      </c>
      <c r="C256" s="60" t="s">
        <v>6</v>
      </c>
      <c r="D256" s="131"/>
      <c r="E256" s="80"/>
      <c r="F256" s="119"/>
    </row>
    <row r="257" spans="1:6" ht="15" customHeight="1" x14ac:dyDescent="0.3">
      <c r="A257" s="64" t="s">
        <v>56</v>
      </c>
      <c r="B257" s="127" t="s">
        <v>376</v>
      </c>
      <c r="C257" s="60"/>
      <c r="D257" s="131"/>
      <c r="E257" s="80"/>
      <c r="F257" s="119"/>
    </row>
    <row r="258" spans="1:6" ht="15" customHeight="1" x14ac:dyDescent="0.3">
      <c r="A258" s="65" t="s">
        <v>377</v>
      </c>
      <c r="B258" s="113" t="s">
        <v>375</v>
      </c>
      <c r="C258" s="163" t="s">
        <v>131</v>
      </c>
      <c r="D258" s="131">
        <f>+D70+D71</f>
        <v>278.11599999999999</v>
      </c>
      <c r="E258" s="393"/>
      <c r="F258" s="591"/>
    </row>
    <row r="259" spans="1:6" ht="15" customHeight="1" x14ac:dyDescent="0.3">
      <c r="A259" s="64" t="s">
        <v>36</v>
      </c>
      <c r="B259" s="111" t="s">
        <v>378</v>
      </c>
      <c r="C259" s="60"/>
      <c r="D259" s="131"/>
      <c r="E259" s="393"/>
      <c r="F259" s="591"/>
    </row>
    <row r="260" spans="1:6" ht="15" customHeight="1" x14ac:dyDescent="0.3">
      <c r="A260" s="64" t="s">
        <v>59</v>
      </c>
      <c r="B260" s="127" t="s">
        <v>379</v>
      </c>
      <c r="C260" s="60"/>
      <c r="D260" s="131"/>
      <c r="E260" s="393"/>
      <c r="F260" s="591"/>
    </row>
    <row r="261" spans="1:6" ht="15" customHeight="1" x14ac:dyDescent="0.3">
      <c r="A261" s="65" t="s">
        <v>380</v>
      </c>
      <c r="B261" s="113" t="s">
        <v>383</v>
      </c>
      <c r="C261" s="163" t="s">
        <v>131</v>
      </c>
      <c r="D261" s="131">
        <f>+D71+2*6.4*0.6</f>
        <v>187.96600000000001</v>
      </c>
      <c r="E261" s="393"/>
      <c r="F261" s="591"/>
    </row>
    <row r="262" spans="1:6" ht="15" customHeight="1" x14ac:dyDescent="0.3">
      <c r="A262" s="64" t="s">
        <v>60</v>
      </c>
      <c r="B262" s="127" t="s">
        <v>382</v>
      </c>
      <c r="C262" s="60"/>
      <c r="D262" s="131"/>
      <c r="E262" s="393"/>
      <c r="F262" s="591"/>
    </row>
    <row r="263" spans="1:6" ht="15" customHeight="1" x14ac:dyDescent="0.3">
      <c r="A263" s="65" t="s">
        <v>569</v>
      </c>
      <c r="B263" s="113" t="s">
        <v>384</v>
      </c>
      <c r="C263" s="163" t="s">
        <v>131</v>
      </c>
      <c r="D263" s="131">
        <f>+D70</f>
        <v>97.83</v>
      </c>
      <c r="E263" s="393"/>
      <c r="F263" s="591"/>
    </row>
    <row r="264" spans="1:6" ht="15" customHeight="1" x14ac:dyDescent="0.3">
      <c r="A264" s="64" t="s">
        <v>43</v>
      </c>
      <c r="B264" s="111" t="s">
        <v>385</v>
      </c>
      <c r="C264" s="60"/>
      <c r="D264" s="131"/>
      <c r="E264" s="393"/>
      <c r="F264" s="591"/>
    </row>
    <row r="265" spans="1:6" ht="15" customHeight="1" x14ac:dyDescent="0.3">
      <c r="A265" s="64" t="s">
        <v>61</v>
      </c>
      <c r="B265" s="127" t="s">
        <v>431</v>
      </c>
      <c r="C265" s="60"/>
      <c r="D265" s="131"/>
      <c r="E265" s="393"/>
      <c r="F265" s="591"/>
    </row>
    <row r="266" spans="1:6" ht="15" customHeight="1" x14ac:dyDescent="0.3">
      <c r="A266" s="66" t="s">
        <v>390</v>
      </c>
      <c r="B266" s="69" t="s">
        <v>384</v>
      </c>
      <c r="C266" s="163" t="s">
        <v>131</v>
      </c>
      <c r="D266" s="70">
        <f>2.2*2*(1+2*0.9+2*0.8)+2*(0.03*2*1.14)+0.54*4*0.18*2+2*(0.03*5*2.34)+1.14*4*0.18*5+2*(0.03*2.14)+0.94*4*0.18</f>
        <v>25.885600000000004</v>
      </c>
      <c r="E266" s="383"/>
      <c r="F266" s="591"/>
    </row>
    <row r="267" spans="1:6" ht="15" customHeight="1" x14ac:dyDescent="0.3">
      <c r="A267" s="82" t="s">
        <v>62</v>
      </c>
      <c r="B267" s="130" t="s">
        <v>392</v>
      </c>
      <c r="C267" s="62"/>
      <c r="D267" s="70"/>
      <c r="E267" s="383"/>
      <c r="F267" s="591"/>
    </row>
    <row r="268" spans="1:6" ht="15" customHeight="1" x14ac:dyDescent="0.3">
      <c r="A268" s="66" t="s">
        <v>391</v>
      </c>
      <c r="B268" s="69" t="s">
        <v>383</v>
      </c>
      <c r="C268" s="163" t="s">
        <v>131</v>
      </c>
      <c r="D268" s="70">
        <f>+D248+D250+(4*5.89+2*6.78)*0.3</f>
        <v>76.477999999999994</v>
      </c>
      <c r="E268" s="383"/>
      <c r="F268" s="591"/>
    </row>
    <row r="269" spans="1:6" ht="15" customHeight="1" x14ac:dyDescent="0.3">
      <c r="A269" s="64" t="s">
        <v>63</v>
      </c>
      <c r="B269" s="127" t="s">
        <v>388</v>
      </c>
      <c r="C269" s="60"/>
      <c r="D269" s="131"/>
      <c r="E269" s="393"/>
      <c r="F269" s="591"/>
    </row>
    <row r="270" spans="1:6" ht="15" customHeight="1" x14ac:dyDescent="0.3">
      <c r="A270" s="65" t="s">
        <v>394</v>
      </c>
      <c r="B270" s="69" t="s">
        <v>683</v>
      </c>
      <c r="C270" s="163" t="s">
        <v>131</v>
      </c>
      <c r="D270" s="131">
        <f>+D98+D99+D100</f>
        <v>12.759999999999998</v>
      </c>
      <c r="E270" s="393"/>
      <c r="F270" s="591"/>
    </row>
    <row r="271" spans="1:6" ht="15" customHeight="1" x14ac:dyDescent="0.3">
      <c r="A271" s="65" t="s">
        <v>603</v>
      </c>
      <c r="B271" s="69" t="s">
        <v>686</v>
      </c>
      <c r="C271" s="163" t="s">
        <v>131</v>
      </c>
      <c r="D271" s="392">
        <f>+D270</f>
        <v>12.759999999999998</v>
      </c>
      <c r="E271" s="393"/>
      <c r="F271" s="591"/>
    </row>
    <row r="272" spans="1:6" ht="15" customHeight="1" x14ac:dyDescent="0.3">
      <c r="A272" s="396" t="s">
        <v>487</v>
      </c>
      <c r="B272" s="111" t="s">
        <v>232</v>
      </c>
      <c r="C272" s="60"/>
      <c r="D272" s="392"/>
      <c r="E272" s="393"/>
      <c r="F272" s="591"/>
    </row>
    <row r="273" spans="1:6" ht="24.9" customHeight="1" x14ac:dyDescent="0.3">
      <c r="A273" s="410" t="s">
        <v>488</v>
      </c>
      <c r="B273" s="69" t="s">
        <v>713</v>
      </c>
      <c r="C273" s="62" t="s">
        <v>54</v>
      </c>
      <c r="D273" s="387">
        <v>1</v>
      </c>
      <c r="E273" s="383"/>
      <c r="F273" s="591"/>
    </row>
    <row r="274" spans="1:6" ht="15" customHeight="1" thickBot="1" x14ac:dyDescent="0.35">
      <c r="A274" s="77"/>
      <c r="B274" s="81"/>
      <c r="C274" s="139"/>
      <c r="D274" s="206"/>
      <c r="E274" s="207"/>
      <c r="F274" s="121"/>
    </row>
    <row r="275" spans="1:6" ht="15" customHeight="1" thickBot="1" x14ac:dyDescent="0.35">
      <c r="A275" s="821" t="s">
        <v>395</v>
      </c>
      <c r="B275" s="822"/>
      <c r="C275" s="822"/>
      <c r="D275" s="822"/>
      <c r="E275" s="823"/>
      <c r="F275" s="586"/>
    </row>
    <row r="276" spans="1:6" ht="15" customHeight="1" x14ac:dyDescent="0.3">
      <c r="A276" s="140"/>
      <c r="B276" s="141"/>
      <c r="C276" s="141"/>
      <c r="D276" s="141"/>
      <c r="E276" s="141"/>
      <c r="F276" s="596"/>
    </row>
    <row r="277" spans="1:6" ht="15" customHeight="1" x14ac:dyDescent="0.3">
      <c r="A277" s="58" t="s">
        <v>396</v>
      </c>
      <c r="B277" s="99" t="s">
        <v>397</v>
      </c>
      <c r="C277" s="60"/>
      <c r="D277" s="131"/>
      <c r="E277" s="615"/>
      <c r="F277" s="614"/>
    </row>
    <row r="278" spans="1:6" ht="15" customHeight="1" x14ac:dyDescent="0.3">
      <c r="A278" s="64"/>
      <c r="B278" s="111"/>
      <c r="C278" s="60"/>
      <c r="D278" s="218"/>
      <c r="E278" s="80"/>
      <c r="F278" s="119"/>
    </row>
    <row r="279" spans="1:6" ht="15" customHeight="1" x14ac:dyDescent="0.3">
      <c r="A279" s="64" t="s">
        <v>400</v>
      </c>
      <c r="B279" s="111" t="s">
        <v>398</v>
      </c>
      <c r="C279" s="60" t="s">
        <v>6</v>
      </c>
      <c r="D279" s="131"/>
      <c r="E279" s="80"/>
      <c r="F279" s="119"/>
    </row>
    <row r="280" spans="1:6" ht="15" customHeight="1" x14ac:dyDescent="0.3">
      <c r="A280" s="64" t="s">
        <v>401</v>
      </c>
      <c r="B280" s="127" t="s">
        <v>399</v>
      </c>
      <c r="C280" s="60"/>
      <c r="D280" s="131"/>
      <c r="E280" s="80"/>
      <c r="F280" s="119"/>
    </row>
    <row r="281" spans="1:6" ht="24.9" customHeight="1" x14ac:dyDescent="0.3">
      <c r="A281" s="66" t="s">
        <v>402</v>
      </c>
      <c r="B281" s="69" t="s">
        <v>725</v>
      </c>
      <c r="C281" s="163" t="s">
        <v>137</v>
      </c>
      <c r="D281" s="70">
        <f>0.15*0.1*12*6.78</f>
        <v>1.2203999999999999</v>
      </c>
      <c r="E281" s="383"/>
      <c r="F281" s="591"/>
    </row>
    <row r="282" spans="1:6" ht="24.9" customHeight="1" x14ac:dyDescent="0.3">
      <c r="A282" s="65" t="s">
        <v>403</v>
      </c>
      <c r="B282" s="69" t="s">
        <v>716</v>
      </c>
      <c r="C282" s="62" t="s">
        <v>15</v>
      </c>
      <c r="D282" s="70">
        <f>4*5.89+2*6.78</f>
        <v>37.119999999999997</v>
      </c>
      <c r="E282" s="383"/>
      <c r="F282" s="591"/>
    </row>
    <row r="283" spans="1:6" ht="15" customHeight="1" thickBot="1" x14ac:dyDescent="0.35">
      <c r="A283" s="68"/>
      <c r="B283" s="132"/>
      <c r="C283" s="142"/>
      <c r="D283" s="221"/>
      <c r="E283" s="222"/>
      <c r="F283" s="143"/>
    </row>
    <row r="284" spans="1:6" ht="15" customHeight="1" thickBot="1" x14ac:dyDescent="0.35">
      <c r="A284" s="821" t="s">
        <v>404</v>
      </c>
      <c r="B284" s="822"/>
      <c r="C284" s="822"/>
      <c r="D284" s="822"/>
      <c r="E284" s="823"/>
      <c r="F284" s="586"/>
    </row>
    <row r="285" spans="1:6" ht="15" customHeight="1" x14ac:dyDescent="0.3">
      <c r="A285" s="140"/>
      <c r="B285" s="141"/>
      <c r="C285" s="141"/>
      <c r="D285" s="141"/>
      <c r="E285" s="141"/>
      <c r="F285" s="118"/>
    </row>
    <row r="286" spans="1:6" ht="15" customHeight="1" x14ac:dyDescent="0.3">
      <c r="A286" s="58" t="s">
        <v>405</v>
      </c>
      <c r="B286" s="99" t="s">
        <v>408</v>
      </c>
      <c r="C286" s="60"/>
      <c r="D286" s="131"/>
      <c r="E286" s="615"/>
      <c r="F286" s="614"/>
    </row>
    <row r="287" spans="1:6" ht="15" customHeight="1" x14ac:dyDescent="0.3">
      <c r="A287" s="64"/>
      <c r="B287" s="111"/>
      <c r="C287" s="60"/>
      <c r="D287" s="218"/>
      <c r="E287" s="80"/>
      <c r="F287" s="119"/>
    </row>
    <row r="288" spans="1:6" ht="15" customHeight="1" x14ac:dyDescent="0.3">
      <c r="A288" s="64" t="s">
        <v>46</v>
      </c>
      <c r="B288" s="111" t="s">
        <v>409</v>
      </c>
      <c r="C288" s="60" t="s">
        <v>6</v>
      </c>
      <c r="D288" s="131"/>
      <c r="E288" s="80"/>
      <c r="F288" s="119"/>
    </row>
    <row r="289" spans="1:6" ht="15" customHeight="1" x14ac:dyDescent="0.3">
      <c r="A289" s="64" t="s">
        <v>55</v>
      </c>
      <c r="B289" s="127" t="s">
        <v>538</v>
      </c>
      <c r="C289" s="60"/>
      <c r="D289" s="131"/>
      <c r="E289" s="80"/>
      <c r="F289" s="119"/>
    </row>
    <row r="290" spans="1:6" ht="15" customHeight="1" x14ac:dyDescent="0.3">
      <c r="A290" s="66" t="s">
        <v>406</v>
      </c>
      <c r="B290" s="69" t="s">
        <v>433</v>
      </c>
      <c r="C290" s="163" t="s">
        <v>131</v>
      </c>
      <c r="D290" s="70">
        <f>2*(6.1*6.78)</f>
        <v>82.715999999999994</v>
      </c>
      <c r="E290" s="383"/>
      <c r="F290" s="591"/>
    </row>
    <row r="291" spans="1:6" ht="15" customHeight="1" x14ac:dyDescent="0.3">
      <c r="A291" s="65" t="s">
        <v>407</v>
      </c>
      <c r="B291" s="69" t="s">
        <v>434</v>
      </c>
      <c r="C291" s="62" t="s">
        <v>15</v>
      </c>
      <c r="D291" s="70">
        <v>6.78</v>
      </c>
      <c r="E291" s="383"/>
      <c r="F291" s="591"/>
    </row>
    <row r="292" spans="1:6" ht="15" customHeight="1" thickBot="1" x14ac:dyDescent="0.35">
      <c r="A292" s="68"/>
      <c r="B292" s="132"/>
      <c r="C292" s="142"/>
      <c r="D292" s="221"/>
      <c r="E292" s="222"/>
      <c r="F292" s="143"/>
    </row>
    <row r="293" spans="1:6" ht="15" customHeight="1" thickBot="1" x14ac:dyDescent="0.35">
      <c r="A293" s="821" t="s">
        <v>410</v>
      </c>
      <c r="B293" s="822"/>
      <c r="C293" s="822"/>
      <c r="D293" s="822"/>
      <c r="E293" s="823"/>
      <c r="F293" s="586"/>
    </row>
    <row r="294" spans="1:6" ht="15" customHeight="1" thickBot="1" x14ac:dyDescent="0.35">
      <c r="A294" s="703"/>
      <c r="B294" s="720"/>
      <c r="C294" s="67"/>
      <c r="D294" s="721"/>
      <c r="E294" s="722"/>
      <c r="F294" s="723"/>
    </row>
    <row r="295" spans="1:6" ht="24.9" customHeight="1" thickTop="1" thickBot="1" x14ac:dyDescent="0.35">
      <c r="A295" s="907" t="s">
        <v>689</v>
      </c>
      <c r="B295" s="908"/>
      <c r="C295" s="908"/>
      <c r="D295" s="909"/>
      <c r="E295" s="910"/>
      <c r="F295" s="911"/>
    </row>
    <row r="296" spans="1:6" ht="15" customHeight="1" thickTop="1" x14ac:dyDescent="0.3">
      <c r="A296" s="22"/>
      <c r="B296" s="1"/>
      <c r="C296" s="1"/>
      <c r="D296" s="1"/>
      <c r="E296" s="1"/>
      <c r="F296" s="1"/>
    </row>
    <row r="297" spans="1:6" s="613" customFormat="1" ht="15" customHeight="1" x14ac:dyDescent="0.3">
      <c r="A297" s="22"/>
      <c r="B297" s="1"/>
      <c r="C297" s="1"/>
      <c r="D297" s="1"/>
      <c r="E297" s="1"/>
      <c r="F297" s="1"/>
    </row>
    <row r="298" spans="1:6" s="613" customFormat="1" ht="15" customHeight="1" x14ac:dyDescent="0.3">
      <c r="A298" s="22"/>
      <c r="B298" s="1"/>
      <c r="C298" s="1"/>
      <c r="D298" s="1"/>
      <c r="E298" s="1"/>
      <c r="F298" s="1"/>
    </row>
    <row r="299" spans="1:6" s="613" customFormat="1" ht="15" customHeight="1" x14ac:dyDescent="0.3">
      <c r="A299" s="22"/>
      <c r="B299" s="1"/>
      <c r="C299" s="1"/>
      <c r="D299" s="1"/>
      <c r="E299" s="1"/>
      <c r="F299" s="1"/>
    </row>
    <row r="300" spans="1:6" s="613" customFormat="1" ht="15" customHeight="1" x14ac:dyDescent="0.3">
      <c r="A300" s="22"/>
      <c r="B300" s="1"/>
      <c r="C300" s="1"/>
      <c r="D300" s="1"/>
      <c r="E300" s="1"/>
      <c r="F300" s="1"/>
    </row>
    <row r="301" spans="1:6" s="613" customFormat="1" ht="15" customHeight="1" x14ac:dyDescent="0.3">
      <c r="A301" s="22"/>
      <c r="B301" s="1"/>
      <c r="C301" s="1"/>
      <c r="D301" s="1"/>
      <c r="E301" s="1"/>
      <c r="F301" s="1"/>
    </row>
    <row r="302" spans="1:6" s="613" customFormat="1" ht="15" customHeight="1" x14ac:dyDescent="0.3">
      <c r="A302" s="22"/>
      <c r="B302" s="1"/>
      <c r="C302" s="1"/>
      <c r="D302" s="1"/>
      <c r="E302" s="1"/>
      <c r="F302" s="1"/>
    </row>
    <row r="303" spans="1:6" s="613" customFormat="1" ht="15" customHeight="1" x14ac:dyDescent="0.3">
      <c r="A303" s="22"/>
      <c r="B303" s="1"/>
      <c r="C303" s="1"/>
      <c r="D303" s="1"/>
      <c r="E303" s="1"/>
      <c r="F303" s="1"/>
    </row>
    <row r="304" spans="1:6" ht="15" customHeight="1" thickBot="1" x14ac:dyDescent="0.35">
      <c r="A304" s="22"/>
      <c r="B304" s="1"/>
      <c r="C304" s="1"/>
      <c r="D304" s="1"/>
      <c r="E304" s="1"/>
      <c r="F304" s="1"/>
    </row>
    <row r="305" spans="1:6" ht="33" customHeight="1" x14ac:dyDescent="0.3">
      <c r="A305" s="775" t="s">
        <v>722</v>
      </c>
      <c r="B305" s="776"/>
      <c r="C305" s="776"/>
      <c r="D305" s="776"/>
      <c r="E305" s="776"/>
      <c r="F305" s="777"/>
    </row>
    <row r="306" spans="1:6" ht="15" customHeight="1" thickBot="1" x14ac:dyDescent="0.35">
      <c r="A306" s="149"/>
      <c r="B306" s="150"/>
      <c r="C306" s="150"/>
      <c r="D306" s="150"/>
      <c r="E306" s="150"/>
      <c r="F306" s="151"/>
    </row>
    <row r="307" spans="1:6" ht="15" customHeight="1" thickTop="1" thickBot="1" x14ac:dyDescent="0.35">
      <c r="A307" s="153" t="s">
        <v>38</v>
      </c>
      <c r="B307" s="778" t="s">
        <v>39</v>
      </c>
      <c r="C307" s="778"/>
      <c r="D307" s="778"/>
      <c r="E307" s="778" t="s">
        <v>411</v>
      </c>
      <c r="F307" s="787"/>
    </row>
    <row r="308" spans="1:6" ht="15" customHeight="1" thickTop="1" x14ac:dyDescent="0.3">
      <c r="A308" s="152"/>
      <c r="B308" s="779"/>
      <c r="C308" s="779"/>
      <c r="D308" s="779"/>
      <c r="E308" s="788"/>
      <c r="F308" s="789"/>
    </row>
    <row r="309" spans="1:6" ht="15" customHeight="1" x14ac:dyDescent="0.3">
      <c r="A309" s="224" t="s">
        <v>143</v>
      </c>
      <c r="B309" s="773" t="s">
        <v>95</v>
      </c>
      <c r="C309" s="773"/>
      <c r="D309" s="773"/>
      <c r="E309" s="780"/>
      <c r="F309" s="781"/>
    </row>
    <row r="310" spans="1:6" ht="15" customHeight="1" x14ac:dyDescent="0.3">
      <c r="A310" s="225" t="s">
        <v>144</v>
      </c>
      <c r="B310" s="774" t="s">
        <v>100</v>
      </c>
      <c r="C310" s="774"/>
      <c r="D310" s="774"/>
      <c r="E310" s="780"/>
      <c r="F310" s="781"/>
    </row>
    <row r="311" spans="1:6" ht="15" customHeight="1" x14ac:dyDescent="0.3">
      <c r="A311" s="226" t="s">
        <v>136</v>
      </c>
      <c r="B311" s="792" t="s">
        <v>103</v>
      </c>
      <c r="C311" s="793"/>
      <c r="D311" s="794"/>
      <c r="E311" s="795"/>
      <c r="F311" s="796"/>
    </row>
    <row r="312" spans="1:6" ht="15" customHeight="1" x14ac:dyDescent="0.3">
      <c r="A312" s="226" t="s">
        <v>176</v>
      </c>
      <c r="B312" s="792" t="s">
        <v>177</v>
      </c>
      <c r="C312" s="793"/>
      <c r="D312" s="794"/>
      <c r="E312" s="795"/>
      <c r="F312" s="796"/>
    </row>
    <row r="313" spans="1:6" ht="15" customHeight="1" x14ac:dyDescent="0.3">
      <c r="A313" s="226" t="s">
        <v>182</v>
      </c>
      <c r="B313" s="792" t="s">
        <v>656</v>
      </c>
      <c r="C313" s="793"/>
      <c r="D313" s="794"/>
      <c r="E313" s="795"/>
      <c r="F313" s="796"/>
    </row>
    <row r="314" spans="1:6" ht="15" customHeight="1" x14ac:dyDescent="0.3">
      <c r="A314" s="226" t="s">
        <v>183</v>
      </c>
      <c r="B314" s="792" t="s">
        <v>184</v>
      </c>
      <c r="C314" s="793"/>
      <c r="D314" s="794"/>
      <c r="E314" s="795"/>
      <c r="F314" s="796"/>
    </row>
    <row r="315" spans="1:6" ht="15" customHeight="1" x14ac:dyDescent="0.3">
      <c r="A315" s="226" t="s">
        <v>195</v>
      </c>
      <c r="B315" s="792" t="s">
        <v>196</v>
      </c>
      <c r="C315" s="793"/>
      <c r="D315" s="794"/>
      <c r="E315" s="795"/>
      <c r="F315" s="796"/>
    </row>
    <row r="316" spans="1:6" ht="15" customHeight="1" x14ac:dyDescent="0.3">
      <c r="A316" s="226" t="s">
        <v>226</v>
      </c>
      <c r="B316" s="792" t="s">
        <v>227</v>
      </c>
      <c r="C316" s="793"/>
      <c r="D316" s="794"/>
      <c r="E316" s="795"/>
      <c r="F316" s="796"/>
    </row>
    <row r="317" spans="1:6" ht="15" customHeight="1" x14ac:dyDescent="0.3">
      <c r="A317" s="226" t="s">
        <v>249</v>
      </c>
      <c r="B317" s="792" t="s">
        <v>250</v>
      </c>
      <c r="C317" s="793"/>
      <c r="D317" s="794"/>
      <c r="E317" s="795"/>
      <c r="F317" s="796"/>
    </row>
    <row r="318" spans="1:6" ht="15" customHeight="1" x14ac:dyDescent="0.3">
      <c r="A318" s="226" t="s">
        <v>292</v>
      </c>
      <c r="B318" s="792" t="s">
        <v>293</v>
      </c>
      <c r="C318" s="793"/>
      <c r="D318" s="794"/>
      <c r="E318" s="795"/>
      <c r="F318" s="796"/>
    </row>
    <row r="319" spans="1:6" ht="15" customHeight="1" x14ac:dyDescent="0.3">
      <c r="A319" s="226" t="s">
        <v>309</v>
      </c>
      <c r="B319" s="792" t="s">
        <v>310</v>
      </c>
      <c r="C319" s="793"/>
      <c r="D319" s="794"/>
      <c r="E319" s="795"/>
      <c r="F319" s="796"/>
    </row>
    <row r="320" spans="1:6" ht="15" customHeight="1" x14ac:dyDescent="0.3">
      <c r="A320" s="226" t="s">
        <v>327</v>
      </c>
      <c r="B320" s="792" t="s">
        <v>328</v>
      </c>
      <c r="C320" s="793"/>
      <c r="D320" s="794"/>
      <c r="E320" s="795"/>
      <c r="F320" s="796"/>
    </row>
    <row r="321" spans="1:6" ht="15" customHeight="1" x14ac:dyDescent="0.3">
      <c r="A321" s="226" t="s">
        <v>334</v>
      </c>
      <c r="B321" s="792" t="s">
        <v>335</v>
      </c>
      <c r="C321" s="793"/>
      <c r="D321" s="794"/>
      <c r="E321" s="795"/>
      <c r="F321" s="796"/>
    </row>
    <row r="322" spans="1:6" ht="15" customHeight="1" x14ac:dyDescent="0.3">
      <c r="A322" s="226" t="s">
        <v>349</v>
      </c>
      <c r="B322" s="792" t="s">
        <v>350</v>
      </c>
      <c r="C322" s="793"/>
      <c r="D322" s="794"/>
      <c r="E322" s="795"/>
      <c r="F322" s="796"/>
    </row>
    <row r="323" spans="1:6" ht="15" customHeight="1" x14ac:dyDescent="0.3">
      <c r="A323" s="226" t="s">
        <v>367</v>
      </c>
      <c r="B323" s="792" t="s">
        <v>368</v>
      </c>
      <c r="C323" s="793"/>
      <c r="D323" s="794"/>
      <c r="E323" s="795"/>
      <c r="F323" s="796"/>
    </row>
    <row r="324" spans="1:6" ht="15" customHeight="1" x14ac:dyDescent="0.3">
      <c r="A324" s="226" t="s">
        <v>372</v>
      </c>
      <c r="B324" s="792" t="s">
        <v>373</v>
      </c>
      <c r="C324" s="793"/>
      <c r="D324" s="794"/>
      <c r="E324" s="795"/>
      <c r="F324" s="796"/>
    </row>
    <row r="325" spans="1:6" ht="15" customHeight="1" x14ac:dyDescent="0.3">
      <c r="A325" s="226" t="s">
        <v>396</v>
      </c>
      <c r="B325" s="792" t="s">
        <v>397</v>
      </c>
      <c r="C325" s="793"/>
      <c r="D325" s="794"/>
      <c r="E325" s="795"/>
      <c r="F325" s="796"/>
    </row>
    <row r="326" spans="1:6" ht="15" customHeight="1" x14ac:dyDescent="0.3">
      <c r="A326" s="226" t="s">
        <v>405</v>
      </c>
      <c r="B326" s="792" t="s">
        <v>408</v>
      </c>
      <c r="C326" s="793"/>
      <c r="D326" s="794"/>
      <c r="E326" s="795"/>
      <c r="F326" s="796"/>
    </row>
    <row r="327" spans="1:6" ht="15" customHeight="1" thickBot="1" x14ac:dyDescent="0.35">
      <c r="A327" s="159"/>
      <c r="B327" s="797"/>
      <c r="C327" s="798"/>
      <c r="D327" s="799"/>
      <c r="E327" s="790"/>
      <c r="F327" s="791"/>
    </row>
    <row r="328" spans="1:6" ht="24.9" customHeight="1" thickTop="1" thickBot="1" x14ac:dyDescent="0.35">
      <c r="A328" s="782" t="s">
        <v>689</v>
      </c>
      <c r="B328" s="783"/>
      <c r="C328" s="783"/>
      <c r="D328" s="784"/>
      <c r="E328" s="785"/>
      <c r="F328" s="786"/>
    </row>
    <row r="329" spans="1:6" ht="15" thickTop="1" x14ac:dyDescent="0.3">
      <c r="A329" s="479"/>
      <c r="B329" s="479"/>
      <c r="C329" s="479"/>
      <c r="D329" s="479"/>
      <c r="E329" s="479"/>
      <c r="F329" s="479"/>
    </row>
  </sheetData>
  <mergeCells count="69">
    <mergeCell ref="E322:F322"/>
    <mergeCell ref="B323:D323"/>
    <mergeCell ref="E323:F323"/>
    <mergeCell ref="E327:F327"/>
    <mergeCell ref="B324:D324"/>
    <mergeCell ref="E324:F324"/>
    <mergeCell ref="B325:D325"/>
    <mergeCell ref="E325:F325"/>
    <mergeCell ref="B326:D326"/>
    <mergeCell ref="E326:F326"/>
    <mergeCell ref="B327:D327"/>
    <mergeCell ref="B322:D322"/>
    <mergeCell ref="B319:D319"/>
    <mergeCell ref="E319:F319"/>
    <mergeCell ref="B320:D320"/>
    <mergeCell ref="E320:F320"/>
    <mergeCell ref="B321:D321"/>
    <mergeCell ref="E321:F321"/>
    <mergeCell ref="B311:D311"/>
    <mergeCell ref="E311:F311"/>
    <mergeCell ref="A305:F305"/>
    <mergeCell ref="B307:D307"/>
    <mergeCell ref="E307:F307"/>
    <mergeCell ref="B308:D308"/>
    <mergeCell ref="E308:F308"/>
    <mergeCell ref="E309:F309"/>
    <mergeCell ref="B309:D309"/>
    <mergeCell ref="A2:F2"/>
    <mergeCell ref="A3:F3"/>
    <mergeCell ref="A13:E13"/>
    <mergeCell ref="A93:E93"/>
    <mergeCell ref="B310:D310"/>
    <mergeCell ref="E310:F310"/>
    <mergeCell ref="A295:D295"/>
    <mergeCell ref="A28:E28"/>
    <mergeCell ref="A51:E51"/>
    <mergeCell ref="A76:E76"/>
    <mergeCell ref="A78:E78"/>
    <mergeCell ref="A86:E86"/>
    <mergeCell ref="A102:E102"/>
    <mergeCell ref="A130:E130"/>
    <mergeCell ref="A146:E146"/>
    <mergeCell ref="A180:E180"/>
    <mergeCell ref="E328:F328"/>
    <mergeCell ref="B312:D312"/>
    <mergeCell ref="E312:F312"/>
    <mergeCell ref="B313:D313"/>
    <mergeCell ref="E313:F313"/>
    <mergeCell ref="B314:D314"/>
    <mergeCell ref="E314:F314"/>
    <mergeCell ref="B315:D315"/>
    <mergeCell ref="E315:F315"/>
    <mergeCell ref="B316:D316"/>
    <mergeCell ref="E316:F316"/>
    <mergeCell ref="B317:D317"/>
    <mergeCell ref="E317:F317"/>
    <mergeCell ref="B318:D318"/>
    <mergeCell ref="E318:F318"/>
    <mergeCell ref="A328:D328"/>
    <mergeCell ref="A192:E192"/>
    <mergeCell ref="A206:E206"/>
    <mergeCell ref="A214:E214"/>
    <mergeCell ref="A227:E227"/>
    <mergeCell ref="A243:E243"/>
    <mergeCell ref="E295:F295"/>
    <mergeCell ref="A252:E252"/>
    <mergeCell ref="A275:E275"/>
    <mergeCell ref="A284:E284"/>
    <mergeCell ref="A293:E29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2"/>
  <sheetViews>
    <sheetView topLeftCell="A4" workbookViewId="0">
      <selection activeCell="G12" sqref="G12"/>
    </sheetView>
  </sheetViews>
  <sheetFormatPr baseColWidth="10" defaultRowHeight="14.4" x14ac:dyDescent="0.3"/>
  <cols>
    <col min="1" max="1" width="7.6640625" customWidth="1"/>
    <col min="3" max="4" width="30.6640625" customWidth="1"/>
    <col min="5" max="5" width="35.6640625" customWidth="1"/>
  </cols>
  <sheetData>
    <row r="1" spans="1:5" ht="15.6" x14ac:dyDescent="0.3">
      <c r="A1" s="758" t="s">
        <v>734</v>
      </c>
      <c r="B1" s="758"/>
      <c r="C1" s="758"/>
      <c r="D1" s="758"/>
      <c r="E1" s="758"/>
    </row>
    <row r="2" spans="1:5" ht="15.6" x14ac:dyDescent="0.3">
      <c r="A2" s="611"/>
      <c r="B2" s="611"/>
      <c r="C2" s="611"/>
      <c r="D2" s="611"/>
      <c r="E2" s="613"/>
    </row>
    <row r="3" spans="1:5" x14ac:dyDescent="0.3">
      <c r="A3" s="613" t="s">
        <v>499</v>
      </c>
      <c r="B3" s="613"/>
      <c r="C3" s="613"/>
      <c r="D3" s="613"/>
      <c r="E3" s="613"/>
    </row>
    <row r="4" spans="1:5" x14ac:dyDescent="0.3">
      <c r="A4" s="759" t="s">
        <v>500</v>
      </c>
      <c r="B4" s="759"/>
      <c r="C4" s="759"/>
      <c r="D4" s="612"/>
      <c r="E4" s="613"/>
    </row>
    <row r="5" spans="1:5" x14ac:dyDescent="0.3">
      <c r="A5" s="760" t="s">
        <v>517</v>
      </c>
      <c r="B5" s="760"/>
      <c r="C5" s="760"/>
      <c r="D5" s="613"/>
      <c r="E5" s="613"/>
    </row>
    <row r="6" spans="1:5" x14ac:dyDescent="0.3">
      <c r="A6" s="613"/>
      <c r="B6" s="613"/>
      <c r="C6" s="613"/>
      <c r="D6" s="613"/>
      <c r="E6" s="613"/>
    </row>
    <row r="7" spans="1:5" ht="15" thickBot="1" x14ac:dyDescent="0.35">
      <c r="A7" s="613"/>
      <c r="B7" s="613"/>
      <c r="C7" s="613"/>
      <c r="D7" s="613"/>
      <c r="E7" s="613"/>
    </row>
    <row r="8" spans="1:5" ht="24.9" customHeight="1" thickTop="1" thickBot="1" x14ac:dyDescent="0.35">
      <c r="A8" s="415" t="s">
        <v>38</v>
      </c>
      <c r="B8" s="426" t="s">
        <v>502</v>
      </c>
      <c r="C8" s="426" t="s">
        <v>501</v>
      </c>
      <c r="D8" s="731" t="s">
        <v>505</v>
      </c>
      <c r="E8" s="466" t="s">
        <v>735</v>
      </c>
    </row>
    <row r="9" spans="1:5" ht="24.9" customHeight="1" thickTop="1" x14ac:dyDescent="0.3">
      <c r="A9" s="416">
        <v>1</v>
      </c>
      <c r="B9" s="761" t="s">
        <v>503</v>
      </c>
      <c r="C9" s="431" t="s">
        <v>511</v>
      </c>
      <c r="D9" s="732" t="s">
        <v>506</v>
      </c>
      <c r="E9" s="751" t="s">
        <v>736</v>
      </c>
    </row>
    <row r="10" spans="1:5" ht="24.9" customHeight="1" thickBot="1" x14ac:dyDescent="0.35">
      <c r="A10" s="733">
        <v>2</v>
      </c>
      <c r="B10" s="762"/>
      <c r="C10" s="734" t="s">
        <v>504</v>
      </c>
      <c r="D10" s="735" t="s">
        <v>515</v>
      </c>
      <c r="E10" s="752" t="s">
        <v>737</v>
      </c>
    </row>
    <row r="11" spans="1:5" ht="24.9" customHeight="1" x14ac:dyDescent="0.3">
      <c r="A11" s="418">
        <v>3</v>
      </c>
      <c r="B11" s="755" t="s">
        <v>508</v>
      </c>
      <c r="C11" s="431" t="s">
        <v>509</v>
      </c>
      <c r="D11" s="736" t="s">
        <v>510</v>
      </c>
      <c r="E11" s="751" t="s">
        <v>742</v>
      </c>
    </row>
    <row r="12" spans="1:5" ht="24.9" customHeight="1" thickBot="1" x14ac:dyDescent="0.35">
      <c r="A12" s="417">
        <v>4</v>
      </c>
      <c r="B12" s="756"/>
      <c r="C12" s="737" t="s">
        <v>512</v>
      </c>
      <c r="D12" s="738" t="s">
        <v>510</v>
      </c>
      <c r="E12" s="752" t="s">
        <v>743</v>
      </c>
    </row>
    <row r="13" spans="1:5" ht="24.9" customHeight="1" thickBot="1" x14ac:dyDescent="0.35">
      <c r="A13" s="739">
        <v>5</v>
      </c>
      <c r="B13" s="740" t="s">
        <v>519</v>
      </c>
      <c r="C13" s="741" t="s">
        <v>520</v>
      </c>
      <c r="D13" s="742" t="s">
        <v>515</v>
      </c>
      <c r="E13" s="753" t="s">
        <v>744</v>
      </c>
    </row>
    <row r="14" spans="1:5" ht="24.9" customHeight="1" x14ac:dyDescent="0.3">
      <c r="A14" s="420">
        <v>6</v>
      </c>
      <c r="B14" s="757" t="s">
        <v>521</v>
      </c>
      <c r="C14" s="743" t="s">
        <v>514</v>
      </c>
      <c r="D14" s="744" t="s">
        <v>515</v>
      </c>
      <c r="E14" s="754" t="s">
        <v>745</v>
      </c>
    </row>
    <row r="15" spans="1:5" ht="24.9" customHeight="1" thickBot="1" x14ac:dyDescent="0.35">
      <c r="A15" s="421">
        <v>7</v>
      </c>
      <c r="B15" s="757"/>
      <c r="C15" s="745" t="s">
        <v>516</v>
      </c>
      <c r="D15" s="746" t="s">
        <v>515</v>
      </c>
      <c r="E15" s="752" t="s">
        <v>746</v>
      </c>
    </row>
    <row r="16" spans="1:5" ht="24.9" customHeight="1" x14ac:dyDescent="0.3">
      <c r="A16" s="418">
        <v>8</v>
      </c>
      <c r="B16" s="755" t="s">
        <v>525</v>
      </c>
      <c r="C16" s="747" t="s">
        <v>523</v>
      </c>
      <c r="D16" s="736" t="s">
        <v>515</v>
      </c>
      <c r="E16" s="754" t="s">
        <v>747</v>
      </c>
    </row>
    <row r="17" spans="1:5" ht="24.9" customHeight="1" thickBot="1" x14ac:dyDescent="0.35">
      <c r="A17" s="417">
        <v>9</v>
      </c>
      <c r="B17" s="756"/>
      <c r="C17" s="734" t="s">
        <v>522</v>
      </c>
      <c r="D17" s="738" t="s">
        <v>515</v>
      </c>
      <c r="E17" s="752" t="s">
        <v>748</v>
      </c>
    </row>
    <row r="18" spans="1:5" ht="24.9" customHeight="1" x14ac:dyDescent="0.3">
      <c r="A18" s="418">
        <v>10</v>
      </c>
      <c r="B18" s="755" t="s">
        <v>528</v>
      </c>
      <c r="C18" s="431" t="s">
        <v>529</v>
      </c>
      <c r="D18" s="736" t="s">
        <v>515</v>
      </c>
      <c r="E18" s="754" t="s">
        <v>749</v>
      </c>
    </row>
    <row r="19" spans="1:5" ht="24.9" customHeight="1" thickBot="1" x14ac:dyDescent="0.35">
      <c r="A19" s="417">
        <v>11</v>
      </c>
      <c r="B19" s="756"/>
      <c r="C19" s="737" t="s">
        <v>530</v>
      </c>
      <c r="D19" s="738" t="s">
        <v>515</v>
      </c>
      <c r="E19" s="752" t="s">
        <v>750</v>
      </c>
    </row>
    <row r="20" spans="1:5" ht="24.9" customHeight="1" x14ac:dyDescent="0.3">
      <c r="A20" s="422">
        <v>12</v>
      </c>
      <c r="B20" s="610" t="s">
        <v>532</v>
      </c>
      <c r="C20" s="743" t="s">
        <v>526</v>
      </c>
      <c r="D20" s="748" t="s">
        <v>515</v>
      </c>
      <c r="E20" s="751" t="s">
        <v>751</v>
      </c>
    </row>
    <row r="21" spans="1:5" ht="15" customHeight="1" thickBot="1" x14ac:dyDescent="0.35">
      <c r="A21" s="414"/>
      <c r="B21" s="435"/>
      <c r="C21" s="434"/>
      <c r="D21" s="749"/>
      <c r="E21" s="750"/>
    </row>
    <row r="22" spans="1:5" ht="15" thickTop="1" x14ac:dyDescent="0.3">
      <c r="A22" s="613"/>
      <c r="B22" s="613"/>
      <c r="C22" s="613"/>
      <c r="D22" s="613"/>
      <c r="E22" s="613"/>
    </row>
  </sheetData>
  <mergeCells count="8">
    <mergeCell ref="B16:B17"/>
    <mergeCell ref="B18:B19"/>
    <mergeCell ref="A1:E1"/>
    <mergeCell ref="A4:C4"/>
    <mergeCell ref="A5:C5"/>
    <mergeCell ref="B9:B10"/>
    <mergeCell ref="B11:B12"/>
    <mergeCell ref="B14:B15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7"/>
  <sheetViews>
    <sheetView zoomScaleNormal="100" workbookViewId="0">
      <selection activeCell="A4" sqref="A4:XFD4"/>
    </sheetView>
  </sheetViews>
  <sheetFormatPr baseColWidth="10" defaultRowHeight="14.4" x14ac:dyDescent="0.3"/>
  <cols>
    <col min="1" max="1" width="6.6640625" customWidth="1"/>
    <col min="2" max="2" width="9.6640625" customWidth="1"/>
    <col min="3" max="3" width="29.88671875" customWidth="1"/>
    <col min="4" max="4" width="32.44140625" customWidth="1"/>
    <col min="5" max="5" width="21" customWidth="1"/>
  </cols>
  <sheetData>
    <row r="1" spans="1:5" ht="24" customHeight="1" x14ac:dyDescent="0.3"/>
    <row r="2" spans="1:5" ht="39.9" customHeight="1" x14ac:dyDescent="0.3">
      <c r="A2" s="758" t="s">
        <v>536</v>
      </c>
      <c r="B2" s="758"/>
      <c r="C2" s="758"/>
      <c r="D2" s="758"/>
      <c r="E2" s="758"/>
    </row>
    <row r="3" spans="1:5" ht="15.6" x14ac:dyDescent="0.3">
      <c r="A3" s="168"/>
      <c r="B3" s="168"/>
      <c r="C3" s="168"/>
      <c r="D3" s="168"/>
      <c r="E3" s="168"/>
    </row>
    <row r="4" spans="1:5" ht="15" thickBot="1" x14ac:dyDescent="0.35"/>
    <row r="5" spans="1:5" ht="24.9" customHeight="1" thickTop="1" thickBot="1" x14ac:dyDescent="0.35">
      <c r="A5" s="465" t="s">
        <v>38</v>
      </c>
      <c r="B5" s="426" t="s">
        <v>502</v>
      </c>
      <c r="C5" s="426" t="s">
        <v>501</v>
      </c>
      <c r="D5" s="426" t="s">
        <v>505</v>
      </c>
      <c r="E5" s="466" t="s">
        <v>40</v>
      </c>
    </row>
    <row r="6" spans="1:5" ht="24.9" customHeight="1" thickTop="1" x14ac:dyDescent="0.3">
      <c r="A6" s="453">
        <v>1</v>
      </c>
      <c r="B6" s="763" t="s">
        <v>503</v>
      </c>
      <c r="C6" s="464" t="s">
        <v>511</v>
      </c>
      <c r="D6" s="464" t="s">
        <v>506</v>
      </c>
      <c r="E6" s="461"/>
    </row>
    <row r="7" spans="1:5" ht="24.9" customHeight="1" x14ac:dyDescent="0.3">
      <c r="A7" s="437">
        <v>2</v>
      </c>
      <c r="B7" s="763"/>
      <c r="C7" s="438" t="s">
        <v>504</v>
      </c>
      <c r="D7" s="438" t="s">
        <v>515</v>
      </c>
      <c r="E7" s="439"/>
    </row>
    <row r="8" spans="1:5" ht="24.9" customHeight="1" thickBot="1" x14ac:dyDescent="0.35">
      <c r="A8" s="449"/>
      <c r="B8" s="763"/>
      <c r="C8" s="450"/>
      <c r="D8" s="451" t="s">
        <v>507</v>
      </c>
      <c r="E8" s="452"/>
    </row>
    <row r="9" spans="1:5" ht="24.9" customHeight="1" x14ac:dyDescent="0.3">
      <c r="A9" s="454">
        <v>3</v>
      </c>
      <c r="B9" s="755" t="s">
        <v>508</v>
      </c>
      <c r="C9" s="427" t="s">
        <v>509</v>
      </c>
      <c r="D9" s="455" t="s">
        <v>510</v>
      </c>
      <c r="E9" s="456"/>
    </row>
    <row r="10" spans="1:5" ht="24.9" customHeight="1" x14ac:dyDescent="0.3">
      <c r="A10" s="437">
        <v>4</v>
      </c>
      <c r="B10" s="757"/>
      <c r="C10" s="440" t="s">
        <v>512</v>
      </c>
      <c r="D10" s="441" t="s">
        <v>510</v>
      </c>
      <c r="E10" s="442"/>
    </row>
    <row r="11" spans="1:5" ht="24.9" customHeight="1" thickBot="1" x14ac:dyDescent="0.35">
      <c r="A11" s="457"/>
      <c r="B11" s="756"/>
      <c r="C11" s="458"/>
      <c r="D11" s="459" t="s">
        <v>513</v>
      </c>
      <c r="E11" s="460"/>
    </row>
    <row r="12" spans="1:5" ht="24.9" customHeight="1" x14ac:dyDescent="0.3">
      <c r="A12" s="462">
        <v>5</v>
      </c>
      <c r="B12" s="755" t="s">
        <v>519</v>
      </c>
      <c r="C12" s="431" t="s">
        <v>520</v>
      </c>
      <c r="D12" s="431" t="s">
        <v>515</v>
      </c>
      <c r="E12" s="463"/>
    </row>
    <row r="13" spans="1:5" ht="24.9" customHeight="1" thickBot="1" x14ac:dyDescent="0.35">
      <c r="A13" s="457"/>
      <c r="B13" s="756"/>
      <c r="C13" s="458"/>
      <c r="D13" s="459" t="s">
        <v>518</v>
      </c>
      <c r="E13" s="460"/>
    </row>
    <row r="14" spans="1:5" ht="24.9" customHeight="1" x14ac:dyDescent="0.3">
      <c r="A14" s="454">
        <v>6</v>
      </c>
      <c r="B14" s="755" t="s">
        <v>521</v>
      </c>
      <c r="C14" s="431" t="s">
        <v>514</v>
      </c>
      <c r="D14" s="455" t="s">
        <v>515</v>
      </c>
      <c r="E14" s="456"/>
    </row>
    <row r="15" spans="1:5" ht="24.9" customHeight="1" x14ac:dyDescent="0.3">
      <c r="A15" s="437">
        <v>7</v>
      </c>
      <c r="B15" s="757"/>
      <c r="C15" s="440" t="s">
        <v>516</v>
      </c>
      <c r="D15" s="441" t="s">
        <v>515</v>
      </c>
      <c r="E15" s="442"/>
    </row>
    <row r="16" spans="1:5" ht="24.9" customHeight="1" thickBot="1" x14ac:dyDescent="0.35">
      <c r="A16" s="457"/>
      <c r="B16" s="756"/>
      <c r="C16" s="458"/>
      <c r="D16" s="459" t="s">
        <v>524</v>
      </c>
      <c r="E16" s="460"/>
    </row>
    <row r="17" spans="1:5" ht="24.9" customHeight="1" x14ac:dyDescent="0.3">
      <c r="A17" s="454">
        <v>8</v>
      </c>
      <c r="B17" s="755" t="s">
        <v>525</v>
      </c>
      <c r="C17" s="430" t="s">
        <v>523</v>
      </c>
      <c r="D17" s="455" t="s">
        <v>515</v>
      </c>
      <c r="E17" s="456"/>
    </row>
    <row r="18" spans="1:5" ht="24.9" customHeight="1" x14ac:dyDescent="0.3">
      <c r="A18" s="437">
        <v>9</v>
      </c>
      <c r="B18" s="757"/>
      <c r="C18" s="443" t="s">
        <v>522</v>
      </c>
      <c r="D18" s="441" t="s">
        <v>515</v>
      </c>
      <c r="E18" s="442"/>
    </row>
    <row r="19" spans="1:5" ht="24.9" customHeight="1" thickBot="1" x14ac:dyDescent="0.35">
      <c r="A19" s="457"/>
      <c r="B19" s="756"/>
      <c r="C19" s="458"/>
      <c r="D19" s="459" t="s">
        <v>527</v>
      </c>
      <c r="E19" s="460"/>
    </row>
    <row r="20" spans="1:5" ht="24.9" customHeight="1" x14ac:dyDescent="0.3">
      <c r="A20" s="454">
        <v>10</v>
      </c>
      <c r="B20" s="755" t="s">
        <v>528</v>
      </c>
      <c r="C20" s="431" t="s">
        <v>529</v>
      </c>
      <c r="D20" s="455" t="s">
        <v>515</v>
      </c>
      <c r="E20" s="456"/>
    </row>
    <row r="21" spans="1:5" ht="24.9" customHeight="1" x14ac:dyDescent="0.3">
      <c r="A21" s="437">
        <v>11</v>
      </c>
      <c r="B21" s="757"/>
      <c r="C21" s="440" t="s">
        <v>530</v>
      </c>
      <c r="D21" s="441" t="s">
        <v>515</v>
      </c>
      <c r="E21" s="442"/>
    </row>
    <row r="22" spans="1:5" ht="24.9" customHeight="1" thickBot="1" x14ac:dyDescent="0.35">
      <c r="A22" s="457"/>
      <c r="B22" s="756"/>
      <c r="C22" s="458"/>
      <c r="D22" s="459" t="s">
        <v>531</v>
      </c>
      <c r="E22" s="460"/>
    </row>
    <row r="23" spans="1:5" ht="24.9" customHeight="1" x14ac:dyDescent="0.3">
      <c r="A23" s="462">
        <v>12</v>
      </c>
      <c r="B23" s="755" t="s">
        <v>532</v>
      </c>
      <c r="C23" s="431" t="s">
        <v>526</v>
      </c>
      <c r="D23" s="431" t="s">
        <v>515</v>
      </c>
      <c r="E23" s="463"/>
    </row>
    <row r="24" spans="1:5" ht="24.9" customHeight="1" thickBot="1" x14ac:dyDescent="0.35">
      <c r="A24" s="457"/>
      <c r="B24" s="756"/>
      <c r="C24" s="458"/>
      <c r="D24" s="459" t="s">
        <v>533</v>
      </c>
      <c r="E24" s="460"/>
    </row>
    <row r="25" spans="1:5" ht="9.9" customHeight="1" x14ac:dyDescent="0.3">
      <c r="A25" s="444"/>
      <c r="B25" s="445"/>
      <c r="C25" s="446"/>
      <c r="D25" s="446"/>
      <c r="E25" s="447"/>
    </row>
    <row r="26" spans="1:5" ht="24.9" customHeight="1" thickBot="1" x14ac:dyDescent="0.35">
      <c r="A26" s="764" t="s">
        <v>535</v>
      </c>
      <c r="B26" s="765"/>
      <c r="C26" s="765"/>
      <c r="D26" s="765"/>
      <c r="E26" s="448"/>
    </row>
    <row r="27" spans="1:5" ht="15" thickTop="1" x14ac:dyDescent="0.3">
      <c r="A27" s="436"/>
      <c r="B27" s="436"/>
      <c r="C27" s="436"/>
      <c r="D27" s="436"/>
      <c r="E27" s="467"/>
    </row>
  </sheetData>
  <mergeCells count="9">
    <mergeCell ref="B14:B16"/>
    <mergeCell ref="B17:B19"/>
    <mergeCell ref="B20:B22"/>
    <mergeCell ref="B23:B24"/>
    <mergeCell ref="A26:D26"/>
    <mergeCell ref="B12:B13"/>
    <mergeCell ref="A2:E2"/>
    <mergeCell ref="B6:B8"/>
    <mergeCell ref="B9:B11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2:O325"/>
  <sheetViews>
    <sheetView view="pageBreakPreview" zoomScaleNormal="100" zoomScaleSheetLayoutView="100" workbookViewId="0">
      <selection activeCell="E330" sqref="E330"/>
    </sheetView>
  </sheetViews>
  <sheetFormatPr baseColWidth="10" defaultColWidth="11.44140625" defaultRowHeight="13.8" x14ac:dyDescent="0.25"/>
  <cols>
    <col min="1" max="1" width="7.6640625" style="22" customWidth="1"/>
    <col min="2" max="2" width="43.6640625" style="1" customWidth="1"/>
    <col min="3" max="3" width="6.44140625" style="1" customWidth="1"/>
    <col min="4" max="4" width="10.33203125" style="1" customWidth="1"/>
    <col min="5" max="5" width="12.5546875" style="1" customWidth="1"/>
    <col min="6" max="6" width="15.44140625" style="1" customWidth="1"/>
    <col min="7" max="7" width="11.44140625" style="1" hidden="1" customWidth="1"/>
    <col min="8" max="16384" width="11.44140625" style="1"/>
  </cols>
  <sheetData>
    <row r="2" spans="1:9" s="45" customFormat="1" ht="15.6" x14ac:dyDescent="0.3">
      <c r="A2" s="766" t="s">
        <v>550</v>
      </c>
      <c r="B2" s="766"/>
      <c r="C2" s="766"/>
      <c r="D2" s="766"/>
      <c r="E2" s="766"/>
      <c r="F2" s="766"/>
    </row>
    <row r="3" spans="1:9" s="45" customFormat="1" ht="15.6" x14ac:dyDescent="0.3">
      <c r="A3" s="766" t="s">
        <v>537</v>
      </c>
      <c r="B3" s="766"/>
      <c r="C3" s="766"/>
      <c r="D3" s="766"/>
      <c r="E3" s="766"/>
      <c r="F3" s="766"/>
    </row>
    <row r="4" spans="1:9" s="45" customFormat="1" ht="15" thickBot="1" x14ac:dyDescent="0.35">
      <c r="A4" s="53"/>
      <c r="D4" s="46"/>
      <c r="E4" s="47"/>
    </row>
    <row r="5" spans="1:9" s="49" customFormat="1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  <c r="G5" s="48"/>
      <c r="H5" s="48"/>
      <c r="I5" s="48"/>
    </row>
    <row r="6" spans="1:9" s="3" customFormat="1" ht="14.4" thickTop="1" x14ac:dyDescent="0.3">
      <c r="A6" s="75"/>
      <c r="B6" s="90"/>
      <c r="C6" s="40"/>
      <c r="D6" s="88"/>
      <c r="E6" s="41"/>
      <c r="F6" s="89"/>
      <c r="G6" s="2"/>
      <c r="H6" s="2"/>
      <c r="I6" s="2"/>
    </row>
    <row r="7" spans="1:9" s="3" customFormat="1" x14ac:dyDescent="0.3">
      <c r="A7" s="56" t="s">
        <v>143</v>
      </c>
      <c r="B7" s="87" t="s">
        <v>95</v>
      </c>
      <c r="C7" s="40"/>
      <c r="D7" s="88"/>
      <c r="E7" s="41"/>
      <c r="F7" s="89"/>
      <c r="G7" s="2"/>
      <c r="H7" s="2"/>
      <c r="I7" s="2"/>
    </row>
    <row r="8" spans="1:9" s="3" customFormat="1" ht="15" customHeight="1" x14ac:dyDescent="0.3">
      <c r="A8" s="75"/>
      <c r="B8" s="90"/>
      <c r="C8" s="40"/>
      <c r="D8" s="88"/>
      <c r="E8" s="41"/>
      <c r="F8" s="89"/>
      <c r="G8" s="2"/>
      <c r="H8" s="2"/>
      <c r="I8" s="2"/>
    </row>
    <row r="9" spans="1:9" s="3" customFormat="1" ht="15" customHeight="1" x14ac:dyDescent="0.3">
      <c r="A9" s="42" t="s">
        <v>96</v>
      </c>
      <c r="B9" s="91" t="s">
        <v>88</v>
      </c>
      <c r="C9" s="50"/>
      <c r="D9" s="92"/>
      <c r="E9" s="51"/>
      <c r="F9" s="93"/>
      <c r="G9" s="2"/>
      <c r="H9" s="2"/>
      <c r="I9" s="2"/>
    </row>
    <row r="10" spans="1:9" s="3" customFormat="1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584"/>
      <c r="F10" s="585"/>
      <c r="G10" s="2"/>
      <c r="H10" s="2"/>
      <c r="I10" s="2"/>
    </row>
    <row r="11" spans="1:9" s="3" customFormat="1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584"/>
      <c r="F11" s="585"/>
      <c r="G11" s="2"/>
      <c r="H11" s="2"/>
      <c r="I11" s="2"/>
    </row>
    <row r="12" spans="1:9" s="3" customFormat="1" ht="14.4" thickBot="1" x14ac:dyDescent="0.35">
      <c r="A12" s="42"/>
      <c r="B12" s="95"/>
      <c r="C12" s="50"/>
      <c r="D12" s="92"/>
      <c r="E12" s="587"/>
      <c r="F12" s="585"/>
      <c r="G12" s="2"/>
      <c r="H12" s="2"/>
      <c r="I12" s="2"/>
    </row>
    <row r="13" spans="1:9" s="5" customFormat="1" ht="15" customHeight="1" thickBot="1" x14ac:dyDescent="0.35">
      <c r="A13" s="767" t="s">
        <v>189</v>
      </c>
      <c r="B13" s="768"/>
      <c r="C13" s="768"/>
      <c r="D13" s="768"/>
      <c r="E13" s="768"/>
      <c r="F13" s="586"/>
    </row>
    <row r="14" spans="1:9" s="3" customFormat="1" x14ac:dyDescent="0.3">
      <c r="A14" s="42"/>
      <c r="B14" s="95"/>
      <c r="C14" s="50"/>
      <c r="D14" s="92"/>
      <c r="E14" s="51"/>
      <c r="F14" s="93"/>
      <c r="G14" s="2"/>
      <c r="H14" s="2"/>
      <c r="I14" s="2"/>
    </row>
    <row r="15" spans="1:9" s="3" customFormat="1" x14ac:dyDescent="0.3">
      <c r="A15" s="57" t="s">
        <v>144</v>
      </c>
      <c r="B15" s="96" t="s">
        <v>100</v>
      </c>
      <c r="C15" s="50"/>
      <c r="D15" s="164"/>
      <c r="E15" s="51"/>
      <c r="F15" s="93"/>
      <c r="G15" s="2"/>
      <c r="H15" s="2"/>
      <c r="I15" s="2"/>
    </row>
    <row r="16" spans="1:9" s="3" customFormat="1" ht="12.75" customHeight="1" x14ac:dyDescent="0.3">
      <c r="A16" s="42"/>
      <c r="B16" s="95"/>
      <c r="C16" s="50"/>
      <c r="D16" s="164"/>
      <c r="E16" s="51"/>
      <c r="F16" s="93"/>
      <c r="G16" s="2"/>
      <c r="H16" s="2"/>
      <c r="I16" s="2"/>
    </row>
    <row r="17" spans="1:9" s="3" customFormat="1" ht="14.1" customHeight="1" x14ac:dyDescent="0.3">
      <c r="A17" s="44" t="s">
        <v>101</v>
      </c>
      <c r="B17" s="97" t="s">
        <v>110</v>
      </c>
      <c r="C17" s="162"/>
      <c r="D17" s="164"/>
      <c r="E17" s="51"/>
      <c r="F17" s="93"/>
      <c r="G17" s="2"/>
      <c r="H17" s="2"/>
      <c r="I17" s="2"/>
    </row>
    <row r="18" spans="1:9" s="3" customFormat="1" ht="14.1" customHeight="1" x14ac:dyDescent="0.3">
      <c r="A18" s="43" t="s">
        <v>102</v>
      </c>
      <c r="B18" s="94" t="s">
        <v>106</v>
      </c>
      <c r="C18" s="161" t="s">
        <v>413</v>
      </c>
      <c r="D18" s="164">
        <f>+(6*4+1.1*2+4.06+3.18*2+2.68*2+0.78+3.72+3.18)*0.8</f>
        <v>39.728000000000002</v>
      </c>
      <c r="E18" s="602"/>
      <c r="F18" s="585"/>
      <c r="G18" s="2"/>
      <c r="H18" s="2"/>
      <c r="I18" s="2"/>
    </row>
    <row r="19" spans="1:9" s="3" customFormat="1" ht="14.1" customHeight="1" x14ac:dyDescent="0.3">
      <c r="A19" s="44" t="s">
        <v>105</v>
      </c>
      <c r="B19" s="97" t="s">
        <v>111</v>
      </c>
      <c r="C19" s="162"/>
      <c r="D19" s="164"/>
      <c r="E19" s="602"/>
      <c r="F19" s="585"/>
      <c r="G19" s="2"/>
      <c r="H19" s="2"/>
      <c r="I19" s="2"/>
    </row>
    <row r="20" spans="1:9" s="3" customFormat="1" ht="14.1" customHeight="1" x14ac:dyDescent="0.3">
      <c r="A20" s="43" t="s">
        <v>109</v>
      </c>
      <c r="B20" s="94" t="s">
        <v>107</v>
      </c>
      <c r="C20" s="161" t="s">
        <v>413</v>
      </c>
      <c r="D20" s="164">
        <f>+D18-49.66*0.3</f>
        <v>24.830000000000005</v>
      </c>
      <c r="E20" s="602"/>
      <c r="F20" s="585"/>
      <c r="G20" s="2"/>
      <c r="H20" s="2"/>
      <c r="I20" s="2"/>
    </row>
    <row r="21" spans="1:9" s="3" customFormat="1" ht="14.1" customHeight="1" x14ac:dyDescent="0.3">
      <c r="A21" s="43" t="s">
        <v>417</v>
      </c>
      <c r="B21" s="94" t="s">
        <v>112</v>
      </c>
      <c r="C21" s="161" t="s">
        <v>413</v>
      </c>
      <c r="D21" s="164">
        <f>57.08*0.3</f>
        <v>17.123999999999999</v>
      </c>
      <c r="E21" s="602"/>
      <c r="F21" s="585"/>
      <c r="G21" s="2"/>
      <c r="H21" s="2"/>
      <c r="I21" s="2"/>
    </row>
    <row r="22" spans="1:9" s="3" customFormat="1" ht="14.1" customHeight="1" x14ac:dyDescent="0.3">
      <c r="A22" s="43" t="s">
        <v>418</v>
      </c>
      <c r="B22" s="94" t="s">
        <v>108</v>
      </c>
      <c r="C22" s="161" t="s">
        <v>412</v>
      </c>
      <c r="D22" s="164">
        <v>57.08</v>
      </c>
      <c r="E22" s="602"/>
      <c r="F22" s="585"/>
      <c r="G22" s="2"/>
      <c r="H22" s="2"/>
      <c r="I22" s="2"/>
    </row>
    <row r="23" spans="1:9" s="3" customFormat="1" ht="14.4" thickBot="1" x14ac:dyDescent="0.35">
      <c r="A23" s="43"/>
      <c r="B23" s="94"/>
      <c r="C23" s="50"/>
      <c r="D23" s="164"/>
      <c r="E23" s="51"/>
      <c r="F23" s="93"/>
      <c r="G23" s="2"/>
      <c r="H23" s="2"/>
      <c r="I23" s="2"/>
    </row>
    <row r="24" spans="1:9" s="5" customFormat="1" ht="15" customHeight="1" thickBot="1" x14ac:dyDescent="0.35">
      <c r="A24" s="767" t="s">
        <v>190</v>
      </c>
      <c r="B24" s="768"/>
      <c r="C24" s="768"/>
      <c r="D24" s="768"/>
      <c r="E24" s="768"/>
      <c r="F24" s="586"/>
    </row>
    <row r="25" spans="1:9" s="3" customFormat="1" x14ac:dyDescent="0.3">
      <c r="A25" s="42"/>
      <c r="B25" s="95"/>
      <c r="C25" s="50"/>
      <c r="D25" s="92"/>
      <c r="E25" s="51"/>
      <c r="F25" s="89"/>
      <c r="G25" s="2"/>
      <c r="H25" s="2"/>
      <c r="I25" s="2"/>
    </row>
    <row r="26" spans="1:9" s="3" customFormat="1" x14ac:dyDescent="0.3">
      <c r="A26" s="58" t="s">
        <v>136</v>
      </c>
      <c r="B26" s="99" t="s">
        <v>103</v>
      </c>
      <c r="C26" s="60"/>
      <c r="D26" s="131"/>
      <c r="E26" s="51"/>
      <c r="F26" s="89"/>
      <c r="G26" s="2"/>
      <c r="H26" s="2"/>
      <c r="I26" s="2"/>
    </row>
    <row r="27" spans="1:9" s="3" customFormat="1" ht="15" customHeight="1" x14ac:dyDescent="0.3">
      <c r="A27" s="54"/>
      <c r="B27" s="687"/>
      <c r="C27" s="60"/>
      <c r="D27" s="131"/>
      <c r="E27" s="51"/>
      <c r="F27" s="89"/>
      <c r="G27" s="2"/>
      <c r="H27" s="2"/>
      <c r="I27" s="2"/>
    </row>
    <row r="28" spans="1:9" s="52" customFormat="1" ht="15" customHeight="1" x14ac:dyDescent="0.3">
      <c r="A28" s="147" t="s">
        <v>4</v>
      </c>
      <c r="B28" s="175" t="s">
        <v>113</v>
      </c>
      <c r="C28" s="176"/>
      <c r="D28" s="177"/>
      <c r="E28" s="178"/>
      <c r="F28" s="101"/>
    </row>
    <row r="29" spans="1:9" s="45" customFormat="1" ht="15" customHeight="1" x14ac:dyDescent="0.3">
      <c r="A29" s="147" t="s">
        <v>5</v>
      </c>
      <c r="B29" s="179" t="s">
        <v>114</v>
      </c>
      <c r="C29" s="163" t="s">
        <v>137</v>
      </c>
      <c r="D29" s="180">
        <f>49.66*0.05*0.6</f>
        <v>1.4898</v>
      </c>
      <c r="E29" s="181"/>
      <c r="F29" s="106"/>
    </row>
    <row r="30" spans="1:9" s="45" customFormat="1" ht="15" customHeight="1" x14ac:dyDescent="0.3">
      <c r="A30" s="147" t="s">
        <v>9</v>
      </c>
      <c r="B30" s="179" t="s">
        <v>121</v>
      </c>
      <c r="C30" s="163"/>
      <c r="D30" s="182"/>
      <c r="E30" s="181"/>
      <c r="F30" s="106"/>
    </row>
    <row r="31" spans="1:9" s="45" customFormat="1" ht="15" customHeight="1" x14ac:dyDescent="0.3">
      <c r="A31" s="148" t="s">
        <v>115</v>
      </c>
      <c r="B31" s="183" t="s">
        <v>138</v>
      </c>
      <c r="C31" s="163" t="s">
        <v>137</v>
      </c>
      <c r="D31" s="180">
        <f>49.66*0.25*0.6</f>
        <v>7.448999999999999</v>
      </c>
      <c r="E31" s="181"/>
      <c r="F31" s="106"/>
    </row>
    <row r="32" spans="1:9" s="45" customFormat="1" ht="15" customHeight="1" x14ac:dyDescent="0.3">
      <c r="A32" s="148" t="s">
        <v>116</v>
      </c>
      <c r="B32" s="183" t="s">
        <v>657</v>
      </c>
      <c r="C32" s="163" t="s">
        <v>117</v>
      </c>
      <c r="D32" s="180">
        <f>4*49.66*0.394+249*0.76*0.222</f>
        <v>120.27544</v>
      </c>
      <c r="E32" s="181"/>
      <c r="F32" s="106"/>
    </row>
    <row r="33" spans="1:9" s="45" customFormat="1" ht="15" customHeight="1" x14ac:dyDescent="0.3">
      <c r="A33" s="147" t="s">
        <v>120</v>
      </c>
      <c r="B33" s="179" t="s">
        <v>416</v>
      </c>
      <c r="C33" s="163"/>
      <c r="D33" s="180"/>
      <c r="E33" s="181"/>
      <c r="F33" s="106"/>
    </row>
    <row r="34" spans="1:9" s="45" customFormat="1" ht="15" customHeight="1" x14ac:dyDescent="0.3">
      <c r="A34" s="148" t="s">
        <v>122</v>
      </c>
      <c r="B34" s="183" t="s">
        <v>138</v>
      </c>
      <c r="C34" s="163" t="s">
        <v>137</v>
      </c>
      <c r="D34" s="180">
        <f>0.8*(12*0.15*0.15+3*0.3*0.15+0.25*0.15+0.3*0.15+0.15*0.15)</f>
        <v>0.40799999999999992</v>
      </c>
      <c r="E34" s="181"/>
      <c r="F34" s="106"/>
    </row>
    <row r="35" spans="1:9" s="45" customFormat="1" ht="15" customHeight="1" x14ac:dyDescent="0.3">
      <c r="A35" s="148" t="s">
        <v>123</v>
      </c>
      <c r="B35" s="183" t="s">
        <v>657</v>
      </c>
      <c r="C35" s="163" t="s">
        <v>117</v>
      </c>
      <c r="D35" s="184">
        <f>0.8*(12*4*0.616+3*(4*0.616+2*0.394)+4*0.616+2*0.394+6*0.616+2*0.394)</f>
        <v>37.647999999999989</v>
      </c>
      <c r="E35" s="181"/>
      <c r="F35" s="106"/>
    </row>
    <row r="36" spans="1:9" s="45" customFormat="1" ht="15" customHeight="1" x14ac:dyDescent="0.3">
      <c r="A36" s="148" t="s">
        <v>124</v>
      </c>
      <c r="B36" s="183" t="s">
        <v>118</v>
      </c>
      <c r="C36" s="163" t="s">
        <v>119</v>
      </c>
      <c r="D36" s="180">
        <f>0.8*(23*0.15+3*0.3+2*0.25)*1.1</f>
        <v>4.2679999999999998</v>
      </c>
      <c r="E36" s="181"/>
      <c r="F36" s="106"/>
    </row>
    <row r="37" spans="1:9" s="45" customFormat="1" ht="15" customHeight="1" x14ac:dyDescent="0.3">
      <c r="A37" s="147" t="s">
        <v>125</v>
      </c>
      <c r="B37" s="179" t="s">
        <v>133</v>
      </c>
      <c r="C37" s="185"/>
      <c r="D37" s="185"/>
      <c r="E37" s="185"/>
      <c r="F37" s="106"/>
    </row>
    <row r="38" spans="1:9" s="45" customFormat="1" ht="15" customHeight="1" x14ac:dyDescent="0.3">
      <c r="A38" s="148" t="s">
        <v>126</v>
      </c>
      <c r="B38" s="183" t="s">
        <v>139</v>
      </c>
      <c r="C38" s="163" t="s">
        <v>131</v>
      </c>
      <c r="D38" s="180">
        <f>49.66*0.6*1.1</f>
        <v>32.775599999999997</v>
      </c>
      <c r="E38" s="181"/>
      <c r="F38" s="106"/>
    </row>
    <row r="39" spans="1:9" s="45" customFormat="1" ht="15" customHeight="1" x14ac:dyDescent="0.3">
      <c r="A39" s="147" t="s">
        <v>127</v>
      </c>
      <c r="B39" s="179" t="s">
        <v>140</v>
      </c>
      <c r="C39" s="163"/>
      <c r="D39" s="180"/>
      <c r="E39" s="181"/>
      <c r="F39" s="106"/>
    </row>
    <row r="40" spans="1:9" s="45" customFormat="1" ht="15" customHeight="1" x14ac:dyDescent="0.3">
      <c r="A40" s="148" t="s">
        <v>128</v>
      </c>
      <c r="B40" s="183" t="s">
        <v>141</v>
      </c>
      <c r="C40" s="163" t="s">
        <v>131</v>
      </c>
      <c r="D40" s="180">
        <v>57.08</v>
      </c>
      <c r="E40" s="181"/>
      <c r="F40" s="106"/>
    </row>
    <row r="41" spans="1:9" s="45" customFormat="1" ht="15" customHeight="1" x14ac:dyDescent="0.3">
      <c r="A41" s="148" t="s">
        <v>129</v>
      </c>
      <c r="B41" s="183" t="s">
        <v>135</v>
      </c>
      <c r="C41" s="163" t="s">
        <v>131</v>
      </c>
      <c r="D41" s="180">
        <f>+D40</f>
        <v>57.08</v>
      </c>
      <c r="E41" s="181"/>
      <c r="F41" s="106"/>
    </row>
    <row r="42" spans="1:9" s="45" customFormat="1" ht="15" customHeight="1" x14ac:dyDescent="0.3">
      <c r="A42" s="148" t="s">
        <v>130</v>
      </c>
      <c r="B42" s="183" t="s">
        <v>118</v>
      </c>
      <c r="C42" s="163" t="s">
        <v>131</v>
      </c>
      <c r="D42" s="180">
        <f>49.66*0.2</f>
        <v>9.9320000000000004</v>
      </c>
      <c r="E42" s="181"/>
      <c r="F42" s="106"/>
    </row>
    <row r="43" spans="1:9" s="45" customFormat="1" ht="15" customHeight="1" x14ac:dyDescent="0.3">
      <c r="A43" s="147" t="s">
        <v>132</v>
      </c>
      <c r="B43" s="179" t="s">
        <v>179</v>
      </c>
      <c r="C43" s="163"/>
      <c r="D43" s="180"/>
      <c r="E43" s="181"/>
      <c r="F43" s="106"/>
    </row>
    <row r="44" spans="1:9" s="45" customFormat="1" ht="15" customHeight="1" x14ac:dyDescent="0.3">
      <c r="A44" s="148" t="s">
        <v>134</v>
      </c>
      <c r="B44" s="183" t="s">
        <v>180</v>
      </c>
      <c r="C44" s="163" t="s">
        <v>131</v>
      </c>
      <c r="D44" s="180">
        <f>57.08-(2.5+2.5)</f>
        <v>52.08</v>
      </c>
      <c r="E44" s="181"/>
      <c r="F44" s="106"/>
    </row>
    <row r="45" spans="1:9" s="45" customFormat="1" ht="15" customHeight="1" x14ac:dyDescent="0.3">
      <c r="A45" s="148" t="s">
        <v>660</v>
      </c>
      <c r="B45" s="183" t="s">
        <v>662</v>
      </c>
      <c r="C45" s="163" t="s">
        <v>131</v>
      </c>
      <c r="D45" s="180">
        <f>2.5*2</f>
        <v>5</v>
      </c>
      <c r="E45" s="181"/>
      <c r="F45" s="106"/>
    </row>
    <row r="46" spans="1:9" s="45" customFormat="1" ht="15" customHeight="1" thickBot="1" x14ac:dyDescent="0.35">
      <c r="A46" s="188"/>
      <c r="B46" s="103"/>
      <c r="C46" s="189"/>
      <c r="D46" s="190"/>
      <c r="E46" s="181"/>
      <c r="F46" s="102"/>
    </row>
    <row r="47" spans="1:9" s="52" customFormat="1" ht="15" customHeight="1" thickBot="1" x14ac:dyDescent="0.35">
      <c r="A47" s="767" t="s">
        <v>146</v>
      </c>
      <c r="B47" s="768"/>
      <c r="C47" s="768"/>
      <c r="D47" s="768"/>
      <c r="E47" s="768"/>
      <c r="F47" s="609"/>
    </row>
    <row r="48" spans="1:9" s="3" customFormat="1" x14ac:dyDescent="0.3">
      <c r="A48" s="54"/>
      <c r="B48" s="687"/>
      <c r="C48" s="60"/>
      <c r="D48" s="131"/>
      <c r="E48" s="51"/>
      <c r="F48" s="89"/>
      <c r="G48" s="2"/>
      <c r="H48" s="2"/>
      <c r="I48" s="2"/>
    </row>
    <row r="49" spans="1:6" s="59" customFormat="1" ht="15" customHeight="1" x14ac:dyDescent="0.25">
      <c r="A49" s="147" t="s">
        <v>10</v>
      </c>
      <c r="B49" s="175" t="s">
        <v>167</v>
      </c>
      <c r="C49" s="176"/>
      <c r="D49" s="191"/>
      <c r="E49" s="192"/>
      <c r="F49" s="104"/>
    </row>
    <row r="50" spans="1:6" s="59" customFormat="1" ht="15" customHeight="1" x14ac:dyDescent="0.25">
      <c r="A50" s="147" t="s">
        <v>11</v>
      </c>
      <c r="B50" s="179" t="s">
        <v>168</v>
      </c>
      <c r="C50" s="176"/>
      <c r="D50" s="191"/>
      <c r="E50" s="192"/>
      <c r="F50" s="104"/>
    </row>
    <row r="51" spans="1:6" s="59" customFormat="1" ht="15" customHeight="1" x14ac:dyDescent="0.25">
      <c r="A51" s="148" t="s">
        <v>147</v>
      </c>
      <c r="B51" s="183" t="s">
        <v>138</v>
      </c>
      <c r="C51" s="163" t="s">
        <v>137</v>
      </c>
      <c r="D51" s="182">
        <f>3*0.3*0.15*3+3*(0.15*0.15+0.15*0.1)*3.38+(0.25*0.15+3*0.15*0.15)*4.11+(3*0.15*0.15+0.3*0.15)*3.9+3*(4*0.15*0.15+2*0.15*0.1)+(3.74+4.11+3.6+3.32+3.61+3.9+3.52*2)*0.15*0.1</f>
        <v>2.4553499999999997</v>
      </c>
      <c r="E51" s="187"/>
      <c r="F51" s="105"/>
    </row>
    <row r="52" spans="1:6" s="59" customFormat="1" ht="15" customHeight="1" x14ac:dyDescent="0.25">
      <c r="A52" s="148" t="s">
        <v>148</v>
      </c>
      <c r="B52" s="183" t="s">
        <v>658</v>
      </c>
      <c r="C52" s="163" t="s">
        <v>84</v>
      </c>
      <c r="D52" s="193">
        <v>248.49</v>
      </c>
      <c r="E52" s="187"/>
      <c r="F52" s="105"/>
    </row>
    <row r="53" spans="1:6" s="59" customFormat="1" ht="15" customHeight="1" x14ac:dyDescent="0.25">
      <c r="A53" s="148" t="s">
        <v>149</v>
      </c>
      <c r="B53" s="183" t="s">
        <v>118</v>
      </c>
      <c r="C53" s="163" t="s">
        <v>131</v>
      </c>
      <c r="D53" s="182">
        <v>25.62</v>
      </c>
      <c r="E53" s="187"/>
      <c r="F53" s="105"/>
    </row>
    <row r="54" spans="1:6" s="59" customFormat="1" ht="15" customHeight="1" x14ac:dyDescent="0.25">
      <c r="A54" s="147" t="s">
        <v>12</v>
      </c>
      <c r="B54" s="179" t="s">
        <v>169</v>
      </c>
      <c r="C54" s="163"/>
      <c r="D54" s="182"/>
      <c r="E54" s="187"/>
      <c r="F54" s="105"/>
    </row>
    <row r="55" spans="1:6" s="59" customFormat="1" ht="15" customHeight="1" x14ac:dyDescent="0.25">
      <c r="A55" s="148" t="s">
        <v>150</v>
      </c>
      <c r="B55" s="183" t="s">
        <v>138</v>
      </c>
      <c r="C55" s="163" t="s">
        <v>137</v>
      </c>
      <c r="D55" s="182">
        <f>49.66*0.2*0.15+5.36*0.2*0.1</f>
        <v>1.597</v>
      </c>
      <c r="E55" s="187"/>
      <c r="F55" s="105"/>
    </row>
    <row r="56" spans="1:6" s="59" customFormat="1" ht="15" customHeight="1" x14ac:dyDescent="0.25">
      <c r="A56" s="148" t="s">
        <v>151</v>
      </c>
      <c r="B56" s="183" t="s">
        <v>658</v>
      </c>
      <c r="C56" s="163" t="s">
        <v>84</v>
      </c>
      <c r="D56" s="193">
        <v>115.51</v>
      </c>
      <c r="E56" s="187"/>
      <c r="F56" s="105"/>
    </row>
    <row r="57" spans="1:6" s="59" customFormat="1" ht="15" customHeight="1" x14ac:dyDescent="0.25">
      <c r="A57" s="148" t="s">
        <v>152</v>
      </c>
      <c r="B57" s="183" t="s">
        <v>118</v>
      </c>
      <c r="C57" s="163" t="s">
        <v>131</v>
      </c>
      <c r="D57" s="182">
        <f>+(49.66+5.36)*2*0.2*1.1</f>
        <v>24.2088</v>
      </c>
      <c r="E57" s="187"/>
      <c r="F57" s="105"/>
    </row>
    <row r="58" spans="1:6" s="59" customFormat="1" ht="15" customHeight="1" x14ac:dyDescent="0.25">
      <c r="A58" s="147" t="s">
        <v>13</v>
      </c>
      <c r="B58" s="179" t="s">
        <v>663</v>
      </c>
      <c r="C58" s="163"/>
      <c r="D58" s="182"/>
      <c r="E58" s="187"/>
      <c r="F58" s="105"/>
    </row>
    <row r="59" spans="1:6" s="59" customFormat="1" ht="15" customHeight="1" x14ac:dyDescent="0.25">
      <c r="A59" s="148" t="s">
        <v>153</v>
      </c>
      <c r="B59" s="194" t="s">
        <v>138</v>
      </c>
      <c r="C59" s="163" t="s">
        <v>137</v>
      </c>
      <c r="D59" s="182">
        <f>1.68*0.4</f>
        <v>0.67200000000000004</v>
      </c>
      <c r="E59" s="187"/>
      <c r="F59" s="105"/>
    </row>
    <row r="60" spans="1:6" s="59" customFormat="1" ht="15" customHeight="1" x14ac:dyDescent="0.25">
      <c r="A60" s="148" t="s">
        <v>154</v>
      </c>
      <c r="B60" s="194" t="s">
        <v>658</v>
      </c>
      <c r="C60" s="163" t="s">
        <v>84</v>
      </c>
      <c r="D60" s="193">
        <f>+D59*60</f>
        <v>40.32</v>
      </c>
      <c r="E60" s="187"/>
      <c r="F60" s="105"/>
    </row>
    <row r="61" spans="1:6" s="59" customFormat="1" ht="15" customHeight="1" x14ac:dyDescent="0.25">
      <c r="A61" s="148" t="s">
        <v>155</v>
      </c>
      <c r="B61" s="194" t="s">
        <v>118</v>
      </c>
      <c r="C61" s="163" t="s">
        <v>131</v>
      </c>
      <c r="D61" s="182">
        <f>0.15*0.35*2+1.68*0.15</f>
        <v>0.35699999999999998</v>
      </c>
      <c r="E61" s="187"/>
      <c r="F61" s="105"/>
    </row>
    <row r="62" spans="1:6" s="59" customFormat="1" ht="15" customHeight="1" x14ac:dyDescent="0.25">
      <c r="A62" s="147" t="s">
        <v>156</v>
      </c>
      <c r="B62" s="179" t="s">
        <v>164</v>
      </c>
      <c r="C62" s="163"/>
      <c r="D62" s="182"/>
      <c r="E62" s="187"/>
      <c r="F62" s="105"/>
    </row>
    <row r="63" spans="1:6" s="55" customFormat="1" ht="15" customHeight="1" x14ac:dyDescent="0.25">
      <c r="A63" s="148" t="s">
        <v>157</v>
      </c>
      <c r="B63" s="183" t="s">
        <v>165</v>
      </c>
      <c r="C63" s="163" t="s">
        <v>131</v>
      </c>
      <c r="D63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3" s="195"/>
      <c r="F63" s="105"/>
    </row>
    <row r="64" spans="1:6" s="55" customFormat="1" ht="15" customHeight="1" x14ac:dyDescent="0.25">
      <c r="A64" s="148" t="s">
        <v>158</v>
      </c>
      <c r="B64" s="183" t="s">
        <v>166</v>
      </c>
      <c r="C64" s="163" t="s">
        <v>131</v>
      </c>
      <c r="D64" s="180">
        <f>+(2.13+0.73+2.4)*3-(2*0.7*2.2)</f>
        <v>12.7</v>
      </c>
      <c r="E64" s="181"/>
      <c r="F64" s="105"/>
    </row>
    <row r="65" spans="1:9" s="55" customFormat="1" ht="15" customHeight="1" x14ac:dyDescent="0.25">
      <c r="A65" s="147" t="s">
        <v>159</v>
      </c>
      <c r="B65" s="179" t="s">
        <v>173</v>
      </c>
      <c r="C65" s="163"/>
      <c r="D65" s="180"/>
      <c r="E65" s="181"/>
      <c r="F65" s="105"/>
    </row>
    <row r="66" spans="1:9" s="55" customFormat="1" ht="15" customHeight="1" x14ac:dyDescent="0.25">
      <c r="A66" s="148" t="s">
        <v>160</v>
      </c>
      <c r="B66" s="183" t="s">
        <v>673</v>
      </c>
      <c r="C66" s="163" t="s">
        <v>131</v>
      </c>
      <c r="D66" s="180">
        <f>+((36.87-(2*1.44+0.95+3.31))+(17.19-0.36)+(36.87-(2*1.44+3.31+0.36))+2*(17.19-2*6.8))+17.19-(0.9*2.2+1.44)</f>
        <v>97.83</v>
      </c>
      <c r="E66" s="181"/>
      <c r="F66" s="105"/>
    </row>
    <row r="67" spans="1:9" s="55" customFormat="1" ht="15" customHeight="1" x14ac:dyDescent="0.25">
      <c r="A67" s="148" t="s">
        <v>161</v>
      </c>
      <c r="B67" s="183" t="s">
        <v>174</v>
      </c>
      <c r="C67" s="163" t="s">
        <v>131</v>
      </c>
      <c r="D67" s="180">
        <f>97.83-2*(17.19-(2*6.8))+2*((13.03-1.98)+(3.72*4.15)+(20.31-1.98))</f>
        <v>180.286</v>
      </c>
      <c r="E67" s="181"/>
      <c r="F67" s="105"/>
    </row>
    <row r="68" spans="1:9" s="55" customFormat="1" ht="24.9" customHeight="1" x14ac:dyDescent="0.25">
      <c r="A68" s="148" t="s">
        <v>170</v>
      </c>
      <c r="B68" s="183" t="s">
        <v>703</v>
      </c>
      <c r="C68" s="163" t="s">
        <v>131</v>
      </c>
      <c r="D68" s="180">
        <f>2*(6.4*3-1.76)</f>
        <v>34.880000000000003</v>
      </c>
      <c r="E68" s="181"/>
      <c r="F68" s="105"/>
    </row>
    <row r="69" spans="1:9" s="55" customFormat="1" ht="15" customHeight="1" x14ac:dyDescent="0.25">
      <c r="A69" s="147" t="s">
        <v>162</v>
      </c>
      <c r="B69" s="179" t="s">
        <v>171</v>
      </c>
      <c r="C69" s="163"/>
      <c r="D69" s="180"/>
      <c r="E69" s="181"/>
      <c r="F69" s="105"/>
    </row>
    <row r="70" spans="1:9" s="55" customFormat="1" ht="15" customHeight="1" x14ac:dyDescent="0.25">
      <c r="A70" s="148" t="s">
        <v>163</v>
      </c>
      <c r="B70" s="183" t="s">
        <v>172</v>
      </c>
      <c r="C70" s="163" t="s">
        <v>131</v>
      </c>
      <c r="D70" s="180">
        <v>1.2</v>
      </c>
      <c r="E70" s="181"/>
      <c r="F70" s="105"/>
    </row>
    <row r="71" spans="1:9" s="55" customFormat="1" ht="15" customHeight="1" thickBot="1" x14ac:dyDescent="0.3">
      <c r="A71" s="196"/>
      <c r="B71" s="197"/>
      <c r="C71" s="198"/>
      <c r="D71" s="199"/>
      <c r="E71" s="200"/>
      <c r="F71" s="107"/>
    </row>
    <row r="72" spans="1:9" s="52" customFormat="1" ht="15" customHeight="1" thickBot="1" x14ac:dyDescent="0.35">
      <c r="A72" s="767" t="s">
        <v>175</v>
      </c>
      <c r="B72" s="768"/>
      <c r="C72" s="768"/>
      <c r="D72" s="768"/>
      <c r="E72" s="768"/>
      <c r="F72" s="609"/>
    </row>
    <row r="73" spans="1:9" s="3" customFormat="1" ht="14.4" thickBot="1" x14ac:dyDescent="0.35">
      <c r="A73" s="688"/>
      <c r="B73" s="689"/>
      <c r="C73" s="690"/>
      <c r="D73" s="691"/>
      <c r="E73" s="692"/>
      <c r="F73" s="693"/>
      <c r="G73" s="2"/>
      <c r="H73" s="2"/>
      <c r="I73" s="2"/>
    </row>
    <row r="74" spans="1:9" s="5" customFormat="1" ht="15" customHeight="1" thickBot="1" x14ac:dyDescent="0.35">
      <c r="A74" s="767" t="s">
        <v>191</v>
      </c>
      <c r="B74" s="768"/>
      <c r="C74" s="768"/>
      <c r="D74" s="768"/>
      <c r="E74" s="768"/>
      <c r="F74" s="586"/>
    </row>
    <row r="75" spans="1:9" s="5" customFormat="1" x14ac:dyDescent="0.3">
      <c r="A75" s="694"/>
      <c r="B75" s="695"/>
      <c r="C75" s="696"/>
      <c r="D75" s="697"/>
      <c r="E75" s="698"/>
      <c r="F75" s="699"/>
    </row>
    <row r="76" spans="1:9" s="3" customFormat="1" x14ac:dyDescent="0.3">
      <c r="A76" s="58" t="s">
        <v>176</v>
      </c>
      <c r="B76" s="99" t="s">
        <v>177</v>
      </c>
      <c r="C76" s="60"/>
      <c r="D76" s="131"/>
      <c r="E76" s="51"/>
      <c r="F76" s="89"/>
      <c r="G76" s="2"/>
      <c r="H76" s="2"/>
      <c r="I76" s="2"/>
    </row>
    <row r="77" spans="1:9" s="3" customFormat="1" ht="15" customHeight="1" x14ac:dyDescent="0.3">
      <c r="A77" s="54"/>
      <c r="B77" s="167"/>
      <c r="C77" s="60"/>
      <c r="D77" s="131"/>
      <c r="E77" s="51"/>
      <c r="F77" s="89"/>
      <c r="G77" s="2"/>
      <c r="H77" s="2"/>
      <c r="I77" s="2"/>
    </row>
    <row r="78" spans="1:9" s="5" customFormat="1" ht="15" customHeight="1" x14ac:dyDescent="0.3">
      <c r="A78" s="54" t="s">
        <v>53</v>
      </c>
      <c r="B78" s="111" t="s">
        <v>732</v>
      </c>
      <c r="C78" s="60"/>
      <c r="D78" s="131"/>
      <c r="E78" s="80"/>
      <c r="F78" s="112"/>
    </row>
    <row r="79" spans="1:9" s="5" customFormat="1" ht="24.9" customHeight="1" x14ac:dyDescent="0.3">
      <c r="A79" s="61" t="s">
        <v>82</v>
      </c>
      <c r="B79" s="69" t="s">
        <v>181</v>
      </c>
      <c r="C79" s="163" t="s">
        <v>131</v>
      </c>
      <c r="D79" s="70">
        <f>2*2.4</f>
        <v>4.8</v>
      </c>
      <c r="E79" s="393"/>
      <c r="F79" s="588"/>
    </row>
    <row r="80" spans="1:9" s="5" customFormat="1" ht="15" customHeight="1" x14ac:dyDescent="0.3">
      <c r="A80" s="61" t="s">
        <v>178</v>
      </c>
      <c r="B80" s="113" t="s">
        <v>717</v>
      </c>
      <c r="C80" s="60" t="s">
        <v>15</v>
      </c>
      <c r="D80" s="131">
        <f>2*(6.4-0.8)</f>
        <v>11.200000000000001</v>
      </c>
      <c r="E80" s="393"/>
      <c r="F80" s="588"/>
    </row>
    <row r="81" spans="1:13" s="5" customFormat="1" ht="14.4" thickBot="1" x14ac:dyDescent="0.35">
      <c r="A81" s="76"/>
      <c r="B81" s="114"/>
      <c r="C81" s="63"/>
      <c r="D81" s="206"/>
      <c r="E81" s="207"/>
      <c r="F81" s="115"/>
    </row>
    <row r="82" spans="1:13" s="5" customFormat="1" ht="15" customHeight="1" thickBot="1" x14ac:dyDescent="0.35">
      <c r="A82" s="767" t="s">
        <v>192</v>
      </c>
      <c r="B82" s="768"/>
      <c r="C82" s="768"/>
      <c r="D82" s="768"/>
      <c r="E82" s="768"/>
      <c r="F82" s="589"/>
      <c r="G82" s="8"/>
      <c r="H82" s="8"/>
    </row>
    <row r="83" spans="1:13" s="5" customFormat="1" ht="15" customHeight="1" x14ac:dyDescent="0.25">
      <c r="A83" s="116"/>
      <c r="B83" s="117"/>
      <c r="C83" s="117"/>
      <c r="D83" s="117"/>
      <c r="E83" s="117"/>
      <c r="F83" s="118"/>
      <c r="G83" s="8"/>
      <c r="H83" s="8"/>
    </row>
    <row r="84" spans="1:13" s="3" customFormat="1" x14ac:dyDescent="0.3">
      <c r="A84" s="58" t="s">
        <v>182</v>
      </c>
      <c r="B84" s="99" t="s">
        <v>656</v>
      </c>
      <c r="C84" s="60"/>
      <c r="D84" s="131"/>
      <c r="E84" s="51"/>
      <c r="F84" s="89"/>
      <c r="G84" s="2"/>
      <c r="H84" s="2"/>
      <c r="I84" s="2"/>
    </row>
    <row r="85" spans="1:13" s="3" customFormat="1" ht="15" customHeight="1" x14ac:dyDescent="0.3">
      <c r="A85" s="54"/>
      <c r="B85" s="167"/>
      <c r="C85" s="60"/>
      <c r="D85" s="131"/>
      <c r="E85" s="51"/>
      <c r="F85" s="89"/>
      <c r="G85" s="2"/>
      <c r="H85" s="2"/>
      <c r="I85" s="2"/>
    </row>
    <row r="86" spans="1:13" s="45" customFormat="1" ht="15" customHeight="1" x14ac:dyDescent="0.3">
      <c r="A86" s="64" t="s">
        <v>186</v>
      </c>
      <c r="B86" s="111" t="s">
        <v>188</v>
      </c>
      <c r="C86" s="60"/>
      <c r="D86" s="131"/>
      <c r="E86" s="80"/>
      <c r="F86" s="119"/>
    </row>
    <row r="87" spans="1:13" s="19" customFormat="1" ht="15" customHeight="1" x14ac:dyDescent="0.3">
      <c r="A87" s="65" t="s">
        <v>187</v>
      </c>
      <c r="B87" s="69" t="s">
        <v>675</v>
      </c>
      <c r="C87" s="60" t="s">
        <v>15</v>
      </c>
      <c r="D87" s="131">
        <f>14*1*5+14*0.8+0.6*2*4</f>
        <v>86</v>
      </c>
      <c r="E87" s="393"/>
      <c r="F87" s="591"/>
    </row>
    <row r="88" spans="1:13" s="5" customFormat="1" ht="14.4" thickBot="1" x14ac:dyDescent="0.35">
      <c r="A88" s="700"/>
      <c r="B88" s="114"/>
      <c r="C88" s="63"/>
      <c r="D88" s="206"/>
      <c r="E88" s="207"/>
      <c r="F88" s="115"/>
      <c r="G88" s="8"/>
      <c r="H88" s="8"/>
      <c r="I88" s="8"/>
      <c r="J88" s="8"/>
      <c r="K88" s="8"/>
      <c r="L88" s="8"/>
      <c r="M88" s="8"/>
    </row>
    <row r="89" spans="1:13" s="5" customFormat="1" ht="15" customHeight="1" thickBot="1" x14ac:dyDescent="0.35">
      <c r="A89" s="767" t="s">
        <v>194</v>
      </c>
      <c r="B89" s="768"/>
      <c r="C89" s="768"/>
      <c r="D89" s="768"/>
      <c r="E89" s="768"/>
      <c r="F89" s="589"/>
      <c r="G89" s="8"/>
      <c r="H89" s="8"/>
      <c r="L89" s="8"/>
      <c r="M89" s="8"/>
    </row>
    <row r="90" spans="1:13" s="5" customFormat="1" x14ac:dyDescent="0.3">
      <c r="A90" s="701"/>
      <c r="B90" s="397"/>
      <c r="C90" s="397"/>
      <c r="D90" s="397"/>
      <c r="E90" s="397"/>
      <c r="F90" s="702"/>
      <c r="G90" s="8"/>
      <c r="H90" s="8"/>
    </row>
    <row r="91" spans="1:13" s="3" customFormat="1" x14ac:dyDescent="0.3">
      <c r="A91" s="58" t="s">
        <v>183</v>
      </c>
      <c r="B91" s="99" t="s">
        <v>184</v>
      </c>
      <c r="C91" s="60"/>
      <c r="D91" s="131"/>
      <c r="E91" s="51"/>
      <c r="F91" s="89"/>
      <c r="G91" s="2"/>
      <c r="H91" s="2"/>
      <c r="I91" s="2"/>
    </row>
    <row r="92" spans="1:13" s="3" customFormat="1" ht="15" customHeight="1" x14ac:dyDescent="0.3">
      <c r="A92" s="54"/>
      <c r="B92" s="167"/>
      <c r="C92" s="60"/>
      <c r="D92" s="131"/>
      <c r="E92" s="51"/>
      <c r="F92" s="89"/>
      <c r="G92" s="2"/>
      <c r="H92" s="2"/>
      <c r="I92" s="2"/>
    </row>
    <row r="93" spans="1:13" s="45" customFormat="1" ht="15" customHeight="1" x14ac:dyDescent="0.3">
      <c r="A93" s="64" t="s">
        <v>16</v>
      </c>
      <c r="B93" s="111" t="s">
        <v>185</v>
      </c>
      <c r="C93" s="60"/>
      <c r="D93" s="131"/>
      <c r="E93" s="80"/>
      <c r="F93" s="112"/>
    </row>
    <row r="94" spans="1:13" s="19" customFormat="1" ht="15" customHeight="1" x14ac:dyDescent="0.3">
      <c r="A94" s="65" t="s">
        <v>17</v>
      </c>
      <c r="B94" s="69" t="s">
        <v>419</v>
      </c>
      <c r="C94" s="163" t="s">
        <v>131</v>
      </c>
      <c r="D94" s="131">
        <f>5*1.4*1.4</f>
        <v>9.7999999999999989</v>
      </c>
      <c r="E94" s="393"/>
      <c r="F94" s="591"/>
    </row>
    <row r="95" spans="1:13" s="19" customFormat="1" ht="15" customHeight="1" x14ac:dyDescent="0.3">
      <c r="A95" s="65" t="s">
        <v>19</v>
      </c>
      <c r="B95" s="69" t="s">
        <v>420</v>
      </c>
      <c r="C95" s="163" t="s">
        <v>131</v>
      </c>
      <c r="D95" s="131">
        <f>1.2*1.4</f>
        <v>1.68</v>
      </c>
      <c r="E95" s="393"/>
      <c r="F95" s="591"/>
    </row>
    <row r="96" spans="1:13" s="19" customFormat="1" ht="15" customHeight="1" x14ac:dyDescent="0.3">
      <c r="A96" s="65" t="s">
        <v>365</v>
      </c>
      <c r="B96" s="69" t="s">
        <v>421</v>
      </c>
      <c r="C96" s="163" t="s">
        <v>131</v>
      </c>
      <c r="D96" s="131">
        <f>0.8*0.8*2</f>
        <v>1.2800000000000002</v>
      </c>
      <c r="E96" s="393"/>
      <c r="F96" s="591"/>
    </row>
    <row r="97" spans="1:14" s="5" customFormat="1" thickBot="1" x14ac:dyDescent="0.3">
      <c r="A97" s="77"/>
      <c r="B97" s="114"/>
      <c r="C97" s="63"/>
      <c r="D97" s="206"/>
      <c r="E97" s="207"/>
      <c r="F97" s="121"/>
      <c r="G97" s="8"/>
      <c r="H97" s="8"/>
      <c r="I97" s="8"/>
      <c r="J97" s="8"/>
      <c r="K97" s="8"/>
      <c r="L97" s="8"/>
      <c r="M97" s="8"/>
    </row>
    <row r="98" spans="1:14" s="5" customFormat="1" ht="15" customHeight="1" thickBot="1" x14ac:dyDescent="0.35">
      <c r="A98" s="767" t="s">
        <v>193</v>
      </c>
      <c r="B98" s="768"/>
      <c r="C98" s="768"/>
      <c r="D98" s="768"/>
      <c r="E98" s="768"/>
      <c r="F98" s="589"/>
      <c r="G98" s="8"/>
      <c r="H98" s="8"/>
      <c r="L98" s="8"/>
      <c r="M98" s="8"/>
    </row>
    <row r="99" spans="1:14" s="5" customFormat="1" x14ac:dyDescent="0.3">
      <c r="A99" s="703"/>
      <c r="B99" s="704"/>
      <c r="C99" s="705"/>
      <c r="D99" s="706"/>
      <c r="E99" s="707"/>
      <c r="F99" s="693"/>
      <c r="G99" s="6"/>
      <c r="H99" s="12"/>
      <c r="I99" s="6"/>
      <c r="J99" s="8"/>
      <c r="K99" s="8"/>
      <c r="L99" s="11"/>
      <c r="M99" s="11"/>
      <c r="N99" s="10"/>
    </row>
    <row r="100" spans="1:14" s="3" customFormat="1" x14ac:dyDescent="0.3">
      <c r="A100" s="58" t="s">
        <v>195</v>
      </c>
      <c r="B100" s="99" t="s">
        <v>196</v>
      </c>
      <c r="C100" s="60"/>
      <c r="D100" s="131"/>
      <c r="E100" s="51"/>
      <c r="F100" s="89"/>
      <c r="G100" s="2"/>
      <c r="H100" s="2"/>
      <c r="I100" s="2"/>
    </row>
    <row r="101" spans="1:14" customFormat="1" ht="15" customHeight="1" x14ac:dyDescent="0.3">
      <c r="A101" s="54"/>
      <c r="B101" s="123"/>
      <c r="C101" s="60"/>
      <c r="D101" s="131"/>
      <c r="E101" s="80"/>
      <c r="F101" s="112"/>
    </row>
    <row r="102" spans="1:14" customFormat="1" ht="15" customHeight="1" x14ac:dyDescent="0.3">
      <c r="A102" s="64" t="s">
        <v>20</v>
      </c>
      <c r="B102" s="123" t="s">
        <v>76</v>
      </c>
      <c r="C102" s="60"/>
      <c r="D102" s="131"/>
      <c r="E102" s="80"/>
      <c r="F102" s="119"/>
    </row>
    <row r="103" spans="1:14" customFormat="1" ht="15" customHeight="1" x14ac:dyDescent="0.3">
      <c r="A103" s="64" t="s">
        <v>21</v>
      </c>
      <c r="B103" s="124" t="s">
        <v>199</v>
      </c>
      <c r="C103" s="60"/>
      <c r="D103" s="131"/>
      <c r="E103" s="80"/>
      <c r="F103" s="119"/>
    </row>
    <row r="104" spans="1:14" customFormat="1" ht="15" customHeight="1" x14ac:dyDescent="0.3">
      <c r="A104" s="65" t="s">
        <v>201</v>
      </c>
      <c r="B104" s="125" t="s">
        <v>197</v>
      </c>
      <c r="C104" s="60" t="s">
        <v>15</v>
      </c>
      <c r="D104" s="131">
        <f>5.7+7.71+20</f>
        <v>33.409999999999997</v>
      </c>
      <c r="E104" s="393"/>
      <c r="F104" s="591"/>
    </row>
    <row r="105" spans="1:14" customFormat="1" ht="24.9" customHeight="1" x14ac:dyDescent="0.3">
      <c r="A105" s="65" t="s">
        <v>202</v>
      </c>
      <c r="B105" s="69" t="s">
        <v>240</v>
      </c>
      <c r="C105" s="60" t="s">
        <v>15</v>
      </c>
      <c r="D105" s="131">
        <f>+D104</f>
        <v>33.409999999999997</v>
      </c>
      <c r="E105" s="393"/>
      <c r="F105" s="591"/>
    </row>
    <row r="106" spans="1:14" customFormat="1" ht="15" customHeight="1" x14ac:dyDescent="0.3">
      <c r="A106" s="64" t="s">
        <v>203</v>
      </c>
      <c r="B106" s="124" t="s">
        <v>200</v>
      </c>
      <c r="C106" s="60"/>
      <c r="D106" s="131"/>
      <c r="E106" s="80"/>
      <c r="F106" s="591"/>
    </row>
    <row r="107" spans="1:14" s="18" customFormat="1" ht="24.9" customHeight="1" x14ac:dyDescent="0.3">
      <c r="A107" s="66" t="s">
        <v>204</v>
      </c>
      <c r="B107" s="69" t="s">
        <v>238</v>
      </c>
      <c r="C107" s="62" t="s">
        <v>15</v>
      </c>
      <c r="D107" s="70">
        <f>+(0.33+1.84+0.8*2+1.5+0.41)*1.1</f>
        <v>6.2480000000000002</v>
      </c>
      <c r="E107" s="383"/>
      <c r="F107" s="591"/>
    </row>
    <row r="108" spans="1:14" customFormat="1" ht="15" customHeight="1" x14ac:dyDescent="0.3">
      <c r="A108" s="64" t="s">
        <v>22</v>
      </c>
      <c r="B108" s="123" t="s">
        <v>198</v>
      </c>
      <c r="C108" s="60"/>
      <c r="D108" s="131"/>
      <c r="E108" s="393"/>
      <c r="F108" s="591"/>
    </row>
    <row r="109" spans="1:14" customFormat="1" ht="15" customHeight="1" x14ac:dyDescent="0.3">
      <c r="A109" s="64" t="s">
        <v>77</v>
      </c>
      <c r="B109" s="124" t="s">
        <v>205</v>
      </c>
      <c r="C109" s="60"/>
      <c r="D109" s="131"/>
      <c r="E109" s="393"/>
      <c r="F109" s="591"/>
    </row>
    <row r="110" spans="1:14" customFormat="1" ht="15" customHeight="1" x14ac:dyDescent="0.3">
      <c r="A110" s="65" t="s">
        <v>208</v>
      </c>
      <c r="B110" s="125" t="s">
        <v>206</v>
      </c>
      <c r="C110" s="60" t="s">
        <v>15</v>
      </c>
      <c r="D110" s="131">
        <f>(2*0.8+2.3+1.05)*1.2</f>
        <v>5.94</v>
      </c>
      <c r="E110" s="393"/>
      <c r="F110" s="591"/>
    </row>
    <row r="111" spans="1:14" customFormat="1" ht="15" customHeight="1" x14ac:dyDescent="0.3">
      <c r="A111" s="65" t="s">
        <v>209</v>
      </c>
      <c r="B111" s="113" t="s">
        <v>207</v>
      </c>
      <c r="C111" s="60" t="s">
        <v>15</v>
      </c>
      <c r="D111" s="131">
        <f>(1.45+0.9)*1.2</f>
        <v>2.82</v>
      </c>
      <c r="E111" s="393"/>
      <c r="F111" s="591"/>
    </row>
    <row r="112" spans="1:14" s="613" customFormat="1" ht="15" customHeight="1" x14ac:dyDescent="0.3">
      <c r="A112" s="65" t="s">
        <v>728</v>
      </c>
      <c r="B112" s="113" t="s">
        <v>729</v>
      </c>
      <c r="C112" s="60" t="s">
        <v>15</v>
      </c>
      <c r="D112" s="131">
        <v>2</v>
      </c>
      <c r="E112" s="393"/>
      <c r="F112" s="591"/>
    </row>
    <row r="113" spans="1:13" customFormat="1" ht="15" customHeight="1" x14ac:dyDescent="0.3">
      <c r="A113" s="64" t="s">
        <v>23</v>
      </c>
      <c r="B113" s="111" t="s">
        <v>210</v>
      </c>
      <c r="C113" s="60"/>
      <c r="D113" s="131"/>
      <c r="E113" s="393"/>
      <c r="F113" s="591"/>
    </row>
    <row r="114" spans="1:13" customFormat="1" ht="15" customHeight="1" x14ac:dyDescent="0.3">
      <c r="A114" s="64" t="s">
        <v>78</v>
      </c>
      <c r="B114" s="127" t="s">
        <v>211</v>
      </c>
      <c r="C114" s="60"/>
      <c r="D114" s="131"/>
      <c r="E114" s="393"/>
      <c r="F114" s="591"/>
    </row>
    <row r="115" spans="1:13" customFormat="1" ht="15" customHeight="1" x14ac:dyDescent="0.3">
      <c r="A115" s="65" t="s">
        <v>215</v>
      </c>
      <c r="B115" s="113" t="s">
        <v>239</v>
      </c>
      <c r="C115" s="60" t="s">
        <v>18</v>
      </c>
      <c r="D115" s="131">
        <v>2</v>
      </c>
      <c r="E115" s="393"/>
      <c r="F115" s="591"/>
    </row>
    <row r="116" spans="1:13" customFormat="1" ht="15" customHeight="1" x14ac:dyDescent="0.3">
      <c r="A116" s="64" t="s">
        <v>216</v>
      </c>
      <c r="B116" s="111" t="s">
        <v>212</v>
      </c>
      <c r="C116" s="60"/>
      <c r="D116" s="131"/>
      <c r="E116" s="80"/>
      <c r="F116" s="591"/>
    </row>
    <row r="117" spans="1:13" customFormat="1" ht="15" customHeight="1" x14ac:dyDescent="0.3">
      <c r="A117" s="64" t="s">
        <v>217</v>
      </c>
      <c r="B117" s="127" t="s">
        <v>213</v>
      </c>
      <c r="C117" s="60"/>
      <c r="D117" s="131"/>
      <c r="E117" s="80"/>
      <c r="F117" s="591"/>
    </row>
    <row r="118" spans="1:13" s="18" customFormat="1" ht="24.9" customHeight="1" x14ac:dyDescent="0.3">
      <c r="A118" s="66" t="s">
        <v>218</v>
      </c>
      <c r="B118" s="69" t="s">
        <v>425</v>
      </c>
      <c r="C118" s="62" t="s">
        <v>18</v>
      </c>
      <c r="D118" s="70">
        <v>2</v>
      </c>
      <c r="E118" s="383"/>
      <c r="F118" s="591"/>
    </row>
    <row r="119" spans="1:13" s="18" customFormat="1" ht="24.9" customHeight="1" x14ac:dyDescent="0.3">
      <c r="A119" s="66" t="s">
        <v>219</v>
      </c>
      <c r="B119" s="69" t="s">
        <v>731</v>
      </c>
      <c r="C119" s="62" t="s">
        <v>18</v>
      </c>
      <c r="D119" s="70">
        <v>2</v>
      </c>
      <c r="E119" s="383"/>
      <c r="F119" s="591"/>
    </row>
    <row r="120" spans="1:13" customFormat="1" ht="15" customHeight="1" x14ac:dyDescent="0.3">
      <c r="A120" s="64" t="s">
        <v>220</v>
      </c>
      <c r="B120" s="127" t="s">
        <v>221</v>
      </c>
      <c r="C120" s="60"/>
      <c r="D120" s="131"/>
      <c r="E120" s="80"/>
      <c r="F120" s="591"/>
    </row>
    <row r="121" spans="1:13" customFormat="1" ht="15" customHeight="1" x14ac:dyDescent="0.3">
      <c r="A121" s="65" t="s">
        <v>222</v>
      </c>
      <c r="B121" s="113" t="s">
        <v>705</v>
      </c>
      <c r="C121" s="60" t="s">
        <v>18</v>
      </c>
      <c r="D121" s="131">
        <v>2</v>
      </c>
      <c r="E121" s="393"/>
      <c r="F121" s="591"/>
    </row>
    <row r="122" spans="1:13" customFormat="1" ht="15" customHeight="1" x14ac:dyDescent="0.3">
      <c r="A122" s="65" t="s">
        <v>223</v>
      </c>
      <c r="B122" s="81" t="s">
        <v>668</v>
      </c>
      <c r="C122" s="63" t="s">
        <v>18</v>
      </c>
      <c r="D122" s="212">
        <v>2</v>
      </c>
      <c r="E122" s="401"/>
      <c r="F122" s="591"/>
    </row>
    <row r="123" spans="1:13" customFormat="1" ht="15" customHeight="1" x14ac:dyDescent="0.3">
      <c r="A123" s="65" t="s">
        <v>224</v>
      </c>
      <c r="B123" s="81" t="s">
        <v>669</v>
      </c>
      <c r="C123" s="63" t="s">
        <v>18</v>
      </c>
      <c r="D123" s="212">
        <v>2</v>
      </c>
      <c r="E123" s="401"/>
      <c r="F123" s="591"/>
    </row>
    <row r="124" spans="1:13" s="613" customFormat="1" ht="15" customHeight="1" x14ac:dyDescent="0.3">
      <c r="A124" s="65" t="s">
        <v>726</v>
      </c>
      <c r="B124" s="81" t="s">
        <v>727</v>
      </c>
      <c r="C124" s="63" t="s">
        <v>18</v>
      </c>
      <c r="D124" s="212">
        <v>2</v>
      </c>
      <c r="E124" s="401"/>
      <c r="F124" s="591"/>
    </row>
    <row r="125" spans="1:13" s="5" customFormat="1" thickBot="1" x14ac:dyDescent="0.3">
      <c r="A125" s="78"/>
      <c r="B125" s="128"/>
      <c r="C125" s="63"/>
      <c r="D125" s="206"/>
      <c r="E125" s="207"/>
      <c r="F125" s="592"/>
    </row>
    <row r="126" spans="1:13" s="5" customFormat="1" ht="15" customHeight="1" thickBot="1" x14ac:dyDescent="0.35">
      <c r="A126" s="767" t="s">
        <v>225</v>
      </c>
      <c r="B126" s="768"/>
      <c r="C126" s="768"/>
      <c r="D126" s="768"/>
      <c r="E126" s="768"/>
      <c r="F126" s="589"/>
      <c r="G126" s="8"/>
      <c r="H126" s="8"/>
      <c r="L126" s="8"/>
      <c r="M126" s="8"/>
    </row>
    <row r="127" spans="1:13" s="5" customFormat="1" x14ac:dyDescent="0.3">
      <c r="A127" s="708"/>
      <c r="B127" s="709"/>
      <c r="C127" s="696"/>
      <c r="D127" s="697"/>
      <c r="E127" s="698"/>
      <c r="F127" s="699"/>
    </row>
    <row r="128" spans="1:13" s="3" customFormat="1" x14ac:dyDescent="0.3">
      <c r="A128" s="58" t="s">
        <v>226</v>
      </c>
      <c r="B128" s="99" t="s">
        <v>227</v>
      </c>
      <c r="C128" s="60"/>
      <c r="D128" s="131"/>
      <c r="E128" s="51"/>
      <c r="F128" s="89"/>
      <c r="G128" s="2"/>
      <c r="H128" s="2"/>
      <c r="I128" s="2"/>
    </row>
    <row r="129" spans="1:13" s="5" customFormat="1" x14ac:dyDescent="0.3">
      <c r="A129" s="708"/>
      <c r="B129" s="709"/>
      <c r="C129" s="696"/>
      <c r="D129" s="697"/>
      <c r="E129" s="698"/>
      <c r="F129" s="699"/>
    </row>
    <row r="130" spans="1:13" customFormat="1" ht="15" customHeight="1" x14ac:dyDescent="0.3">
      <c r="A130" s="64" t="s">
        <v>44</v>
      </c>
      <c r="B130" s="111" t="s">
        <v>228</v>
      </c>
      <c r="C130" s="60"/>
      <c r="D130" s="131"/>
      <c r="E130" s="80"/>
      <c r="F130" s="119"/>
    </row>
    <row r="131" spans="1:13" customFormat="1" ht="15" customHeight="1" x14ac:dyDescent="0.3">
      <c r="A131" s="64" t="s">
        <v>75</v>
      </c>
      <c r="B131" s="127" t="s">
        <v>229</v>
      </c>
      <c r="C131" s="60"/>
      <c r="D131" s="131"/>
      <c r="E131" s="80"/>
      <c r="F131" s="119"/>
    </row>
    <row r="132" spans="1:13" customFormat="1" ht="15" customHeight="1" x14ac:dyDescent="0.3">
      <c r="A132" s="65" t="s">
        <v>242</v>
      </c>
      <c r="B132" s="113" t="s">
        <v>241</v>
      </c>
      <c r="C132" s="60" t="s">
        <v>15</v>
      </c>
      <c r="D132" s="131">
        <f>3.03+3.5</f>
        <v>6.5299999999999994</v>
      </c>
      <c r="E132" s="393"/>
      <c r="F132" s="591"/>
    </row>
    <row r="133" spans="1:13" customFormat="1" ht="15" customHeight="1" x14ac:dyDescent="0.3">
      <c r="A133" s="64" t="s">
        <v>24</v>
      </c>
      <c r="B133" s="111" t="s">
        <v>232</v>
      </c>
      <c r="C133" s="60"/>
      <c r="D133" s="131"/>
      <c r="E133" s="393"/>
      <c r="F133" s="591"/>
    </row>
    <row r="134" spans="1:13" customFormat="1" ht="15" customHeight="1" x14ac:dyDescent="0.3">
      <c r="A134" s="64" t="s">
        <v>25</v>
      </c>
      <c r="B134" s="130" t="s">
        <v>233</v>
      </c>
      <c r="C134" s="60"/>
      <c r="D134" s="131"/>
      <c r="E134" s="393"/>
      <c r="F134" s="591"/>
    </row>
    <row r="135" spans="1:13" customFormat="1" ht="15" customHeight="1" x14ac:dyDescent="0.3">
      <c r="A135" s="68" t="s">
        <v>243</v>
      </c>
      <c r="B135" s="132" t="s">
        <v>230</v>
      </c>
      <c r="C135" s="67" t="s">
        <v>18</v>
      </c>
      <c r="D135" s="133">
        <v>1</v>
      </c>
      <c r="E135" s="593"/>
      <c r="F135" s="591"/>
    </row>
    <row r="136" spans="1:13" customFormat="1" ht="15" customHeight="1" x14ac:dyDescent="0.3">
      <c r="A136" s="65" t="s">
        <v>244</v>
      </c>
      <c r="B136" s="69" t="s">
        <v>723</v>
      </c>
      <c r="C136" s="60" t="s">
        <v>18</v>
      </c>
      <c r="D136" s="131">
        <v>1</v>
      </c>
      <c r="E136" s="393"/>
      <c r="F136" s="591"/>
    </row>
    <row r="137" spans="1:13" customFormat="1" ht="15" customHeight="1" x14ac:dyDescent="0.3">
      <c r="A137" s="64" t="s">
        <v>245</v>
      </c>
      <c r="B137" s="130" t="s">
        <v>234</v>
      </c>
      <c r="C137" s="60"/>
      <c r="D137" s="131"/>
      <c r="E137" s="393"/>
      <c r="F137" s="591"/>
    </row>
    <row r="138" spans="1:13" s="18" customFormat="1" ht="15" customHeight="1" x14ac:dyDescent="0.3">
      <c r="A138" s="66" t="s">
        <v>246</v>
      </c>
      <c r="B138" s="69" t="s">
        <v>235</v>
      </c>
      <c r="C138" s="62" t="s">
        <v>18</v>
      </c>
      <c r="D138" s="70">
        <v>1</v>
      </c>
      <c r="E138" s="383"/>
      <c r="F138" s="591"/>
    </row>
    <row r="139" spans="1:13" s="18" customFormat="1" ht="15" customHeight="1" x14ac:dyDescent="0.3">
      <c r="A139" s="64" t="s">
        <v>247</v>
      </c>
      <c r="B139" s="130" t="s">
        <v>236</v>
      </c>
      <c r="C139" s="62"/>
      <c r="D139" s="70"/>
      <c r="E139" s="383"/>
      <c r="F139" s="591"/>
    </row>
    <row r="140" spans="1:13" s="18" customFormat="1" ht="15" customHeight="1" x14ac:dyDescent="0.3">
      <c r="A140" s="66" t="s">
        <v>248</v>
      </c>
      <c r="B140" s="69" t="s">
        <v>237</v>
      </c>
      <c r="C140" s="62" t="s">
        <v>18</v>
      </c>
      <c r="D140" s="70">
        <v>1</v>
      </c>
      <c r="E140" s="383"/>
      <c r="F140" s="591"/>
    </row>
    <row r="141" spans="1:13" s="18" customFormat="1" ht="15" customHeight="1" thickBot="1" x14ac:dyDescent="0.35">
      <c r="A141" s="710"/>
      <c r="B141" s="711"/>
      <c r="C141" s="712"/>
      <c r="D141" s="713"/>
      <c r="E141" s="714"/>
      <c r="F141" s="715"/>
    </row>
    <row r="142" spans="1:13" s="86" customFormat="1" ht="15" customHeight="1" thickBot="1" x14ac:dyDescent="0.35">
      <c r="A142" s="767" t="s">
        <v>231</v>
      </c>
      <c r="B142" s="768"/>
      <c r="C142" s="768"/>
      <c r="D142" s="768"/>
      <c r="E142" s="768"/>
      <c r="F142" s="586"/>
      <c r="G142" s="160"/>
      <c r="H142" s="160"/>
      <c r="L142" s="160"/>
      <c r="M142" s="160"/>
    </row>
    <row r="143" spans="1:13" s="5" customFormat="1" x14ac:dyDescent="0.3">
      <c r="A143" s="716"/>
      <c r="B143" s="111"/>
      <c r="C143" s="60"/>
      <c r="D143" s="131"/>
      <c r="E143" s="80"/>
      <c r="F143" s="112"/>
    </row>
    <row r="144" spans="1:13" s="3" customFormat="1" ht="15" customHeight="1" x14ac:dyDescent="0.3">
      <c r="A144" s="58" t="s">
        <v>249</v>
      </c>
      <c r="B144" s="99" t="s">
        <v>250</v>
      </c>
      <c r="C144" s="60"/>
      <c r="D144" s="131"/>
      <c r="E144" s="51"/>
      <c r="F144" s="89"/>
      <c r="G144" s="2"/>
      <c r="H144" s="2"/>
      <c r="I144" s="2"/>
    </row>
    <row r="145" spans="1:6" s="5" customFormat="1" ht="15" customHeight="1" x14ac:dyDescent="0.3">
      <c r="A145" s="716"/>
      <c r="B145" s="111"/>
      <c r="C145" s="60"/>
      <c r="D145" s="131"/>
      <c r="E145" s="80"/>
      <c r="F145" s="112"/>
    </row>
    <row r="146" spans="1:6" customFormat="1" ht="15" customHeight="1" x14ac:dyDescent="0.3">
      <c r="A146" s="64" t="s">
        <v>26</v>
      </c>
      <c r="B146" s="111" t="s">
        <v>251</v>
      </c>
      <c r="C146" s="60"/>
      <c r="D146" s="131"/>
      <c r="E146" s="80"/>
      <c r="F146" s="119"/>
    </row>
    <row r="147" spans="1:6" s="5" customFormat="1" ht="15" customHeight="1" x14ac:dyDescent="0.25">
      <c r="A147" s="64" t="s">
        <v>42</v>
      </c>
      <c r="B147" s="127" t="s">
        <v>253</v>
      </c>
      <c r="C147" s="60"/>
      <c r="D147" s="131"/>
      <c r="E147" s="80"/>
      <c r="F147" s="119"/>
    </row>
    <row r="148" spans="1:6" s="5" customFormat="1" ht="15" customHeight="1" x14ac:dyDescent="0.25">
      <c r="A148" s="65" t="s">
        <v>258</v>
      </c>
      <c r="B148" s="113" t="s">
        <v>422</v>
      </c>
      <c r="C148" s="60" t="s">
        <v>15</v>
      </c>
      <c r="D148" s="131">
        <f>20+15</f>
        <v>35</v>
      </c>
      <c r="E148" s="594"/>
      <c r="F148" s="591"/>
    </row>
    <row r="149" spans="1:6" s="5" customFormat="1" ht="15" customHeight="1" x14ac:dyDescent="0.25">
      <c r="A149" s="65" t="s">
        <v>259</v>
      </c>
      <c r="B149" s="113" t="s">
        <v>252</v>
      </c>
      <c r="C149" s="60" t="s">
        <v>15</v>
      </c>
      <c r="D149" s="131">
        <f>+D148</f>
        <v>35</v>
      </c>
      <c r="E149" s="594"/>
      <c r="F149" s="591"/>
    </row>
    <row r="150" spans="1:6" s="5" customFormat="1" ht="15" customHeight="1" x14ac:dyDescent="0.25">
      <c r="A150" s="64" t="s">
        <v>266</v>
      </c>
      <c r="B150" s="127" t="s">
        <v>254</v>
      </c>
      <c r="C150" s="60"/>
      <c r="D150" s="131"/>
      <c r="E150" s="594"/>
      <c r="F150" s="591"/>
    </row>
    <row r="151" spans="1:6" s="74" customFormat="1" ht="24.9" customHeight="1" x14ac:dyDescent="0.25">
      <c r="A151" s="66" t="s">
        <v>608</v>
      </c>
      <c r="B151" s="69" t="s">
        <v>280</v>
      </c>
      <c r="C151" s="62" t="s">
        <v>15</v>
      </c>
      <c r="D151" s="70">
        <v>33.47</v>
      </c>
      <c r="E151" s="595"/>
      <c r="F151" s="591"/>
    </row>
    <row r="152" spans="1:6" s="74" customFormat="1" ht="24.9" customHeight="1" x14ac:dyDescent="0.25">
      <c r="A152" s="66" t="s">
        <v>699</v>
      </c>
      <c r="B152" s="69" t="s">
        <v>264</v>
      </c>
      <c r="C152" s="62" t="s">
        <v>54</v>
      </c>
      <c r="D152" s="70">
        <v>2</v>
      </c>
      <c r="E152" s="595"/>
      <c r="F152" s="591"/>
    </row>
    <row r="153" spans="1:6" s="5" customFormat="1" ht="15" customHeight="1" x14ac:dyDescent="0.25">
      <c r="A153" s="64" t="s">
        <v>267</v>
      </c>
      <c r="B153" s="127" t="s">
        <v>255</v>
      </c>
      <c r="C153" s="60"/>
      <c r="D153" s="131"/>
      <c r="E153" s="594"/>
      <c r="F153" s="591"/>
    </row>
    <row r="154" spans="1:6" s="74" customFormat="1" ht="24.9" customHeight="1" x14ac:dyDescent="0.25">
      <c r="A154" s="66" t="s">
        <v>281</v>
      </c>
      <c r="B154" s="69" t="s">
        <v>670</v>
      </c>
      <c r="C154" s="62" t="s">
        <v>18</v>
      </c>
      <c r="D154" s="70">
        <v>1</v>
      </c>
      <c r="E154" s="595"/>
      <c r="F154" s="591"/>
    </row>
    <row r="155" spans="1:6" s="5" customFormat="1" ht="15" customHeight="1" x14ac:dyDescent="0.25">
      <c r="A155" s="64" t="s">
        <v>27</v>
      </c>
      <c r="B155" s="111" t="s">
        <v>263</v>
      </c>
      <c r="C155" s="60"/>
      <c r="D155" s="131"/>
      <c r="E155" s="594"/>
      <c r="F155" s="591"/>
    </row>
    <row r="156" spans="1:6" s="5" customFormat="1" ht="15" customHeight="1" x14ac:dyDescent="0.25">
      <c r="A156" s="64" t="s">
        <v>71</v>
      </c>
      <c r="B156" s="127" t="s">
        <v>257</v>
      </c>
      <c r="C156" s="60"/>
      <c r="D156" s="131"/>
      <c r="E156" s="594"/>
      <c r="F156" s="591"/>
    </row>
    <row r="157" spans="1:6" s="5" customFormat="1" ht="15" customHeight="1" x14ac:dyDescent="0.25">
      <c r="A157" s="65" t="s">
        <v>260</v>
      </c>
      <c r="B157" s="113" t="s">
        <v>423</v>
      </c>
      <c r="C157" s="60" t="s">
        <v>15</v>
      </c>
      <c r="D157" s="131">
        <f>7*1.9*1.2</f>
        <v>15.959999999999997</v>
      </c>
      <c r="E157" s="594"/>
      <c r="F157" s="591"/>
    </row>
    <row r="158" spans="1:6" s="5" customFormat="1" ht="15" customHeight="1" x14ac:dyDescent="0.25">
      <c r="A158" s="65" t="s">
        <v>261</v>
      </c>
      <c r="B158" s="113" t="s">
        <v>428</v>
      </c>
      <c r="C158" s="60" t="s">
        <v>15</v>
      </c>
      <c r="D158" s="131">
        <f>+(2.45+3.47+3.37+0.3*8+0.72+1.2*2+2.01+3.11+2.53+0.31+2*1.9)*1.2</f>
        <v>31.884</v>
      </c>
      <c r="E158" s="594"/>
      <c r="F158" s="591"/>
    </row>
    <row r="159" spans="1:6" s="5" customFormat="1" ht="15" customHeight="1" x14ac:dyDescent="0.25">
      <c r="A159" s="65" t="s">
        <v>262</v>
      </c>
      <c r="B159" s="113" t="s">
        <v>256</v>
      </c>
      <c r="C159" s="60" t="s">
        <v>15</v>
      </c>
      <c r="D159" s="131">
        <f>+(2.76+2.37+1.1+1.73+1.56+4.2+1.06+1.78+5.15+2.42+10.46+1.33+1.71+1.95+1.71+1.22+5.11+1.22)*1.2</f>
        <v>58.608000000000004</v>
      </c>
      <c r="E159" s="594"/>
      <c r="F159" s="591"/>
    </row>
    <row r="160" spans="1:6" x14ac:dyDescent="0.25">
      <c r="A160" s="78" t="s">
        <v>28</v>
      </c>
      <c r="B160" s="214" t="s">
        <v>268</v>
      </c>
      <c r="C160" s="185"/>
      <c r="D160" s="165"/>
      <c r="E160" s="185"/>
      <c r="F160" s="591"/>
    </row>
    <row r="161" spans="1:13" x14ac:dyDescent="0.25">
      <c r="A161" s="147" t="s">
        <v>87</v>
      </c>
      <c r="B161" s="215" t="s">
        <v>270</v>
      </c>
      <c r="C161" s="216"/>
      <c r="D161" s="166"/>
      <c r="E161" s="216"/>
      <c r="F161" s="591"/>
    </row>
    <row r="162" spans="1:13" x14ac:dyDescent="0.25">
      <c r="A162" s="148" t="s">
        <v>282</v>
      </c>
      <c r="B162" s="216" t="s">
        <v>269</v>
      </c>
      <c r="C162" s="163" t="s">
        <v>18</v>
      </c>
      <c r="D162" s="169">
        <v>7</v>
      </c>
      <c r="E162" s="725"/>
      <c r="F162" s="591"/>
    </row>
    <row r="163" spans="1:13" x14ac:dyDescent="0.25">
      <c r="A163" s="148" t="s">
        <v>283</v>
      </c>
      <c r="B163" s="216" t="s">
        <v>274</v>
      </c>
      <c r="C163" s="163" t="s">
        <v>18</v>
      </c>
      <c r="D163" s="169">
        <v>1</v>
      </c>
      <c r="E163" s="725"/>
      <c r="F163" s="591"/>
    </row>
    <row r="164" spans="1:13" x14ac:dyDescent="0.25">
      <c r="A164" s="135" t="s">
        <v>89</v>
      </c>
      <c r="B164" s="217" t="s">
        <v>271</v>
      </c>
      <c r="C164" s="185"/>
      <c r="D164" s="165"/>
      <c r="E164" s="185"/>
      <c r="F164" s="591"/>
    </row>
    <row r="165" spans="1:13" s="5" customFormat="1" ht="15" customHeight="1" x14ac:dyDescent="0.25">
      <c r="A165" s="136" t="s">
        <v>284</v>
      </c>
      <c r="B165" s="113" t="s">
        <v>272</v>
      </c>
      <c r="C165" s="60" t="s">
        <v>18</v>
      </c>
      <c r="D165" s="131">
        <f>1+1+1+1</f>
        <v>4</v>
      </c>
      <c r="E165" s="594"/>
      <c r="F165" s="591"/>
    </row>
    <row r="166" spans="1:13" s="5" customFormat="1" ht="15" customHeight="1" x14ac:dyDescent="0.25">
      <c r="A166" s="136" t="s">
        <v>285</v>
      </c>
      <c r="B166" s="113" t="s">
        <v>273</v>
      </c>
      <c r="C166" s="60" t="s">
        <v>18</v>
      </c>
      <c r="D166" s="131">
        <f>1+1</f>
        <v>2</v>
      </c>
      <c r="E166" s="594"/>
      <c r="F166" s="591"/>
    </row>
    <row r="167" spans="1:13" s="5" customFormat="1" ht="15" customHeight="1" x14ac:dyDescent="0.25">
      <c r="A167" s="136" t="s">
        <v>286</v>
      </c>
      <c r="B167" s="113" t="s">
        <v>424</v>
      </c>
      <c r="C167" s="60" t="s">
        <v>18</v>
      </c>
      <c r="D167" s="131">
        <f>1+1</f>
        <v>2</v>
      </c>
      <c r="E167" s="594"/>
      <c r="F167" s="591"/>
    </row>
    <row r="168" spans="1:13" s="5" customFormat="1" ht="15" customHeight="1" x14ac:dyDescent="0.25">
      <c r="A168" s="135" t="s">
        <v>90</v>
      </c>
      <c r="B168" s="127" t="s">
        <v>275</v>
      </c>
      <c r="C168" s="60"/>
      <c r="D168" s="131"/>
      <c r="E168" s="594"/>
      <c r="F168" s="591"/>
    </row>
    <row r="169" spans="1:13" s="5" customFormat="1" ht="15" customHeight="1" x14ac:dyDescent="0.25">
      <c r="A169" s="136" t="s">
        <v>287</v>
      </c>
      <c r="B169" s="113" t="s">
        <v>276</v>
      </c>
      <c r="C169" s="60" t="s">
        <v>18</v>
      </c>
      <c r="D169" s="131">
        <v>8</v>
      </c>
      <c r="E169" s="594"/>
      <c r="F169" s="591"/>
    </row>
    <row r="170" spans="1:13" s="5" customFormat="1" ht="15" customHeight="1" x14ac:dyDescent="0.25">
      <c r="A170" s="136" t="s">
        <v>288</v>
      </c>
      <c r="B170" s="113" t="s">
        <v>277</v>
      </c>
      <c r="C170" s="60" t="s">
        <v>18</v>
      </c>
      <c r="D170" s="131">
        <v>6</v>
      </c>
      <c r="E170" s="594"/>
      <c r="F170" s="591"/>
    </row>
    <row r="171" spans="1:13" s="5" customFormat="1" ht="15" customHeight="1" x14ac:dyDescent="0.25">
      <c r="A171" s="136" t="s">
        <v>289</v>
      </c>
      <c r="B171" s="113" t="s">
        <v>278</v>
      </c>
      <c r="C171" s="60" t="s">
        <v>18</v>
      </c>
      <c r="D171" s="131">
        <v>1</v>
      </c>
      <c r="E171" s="594"/>
      <c r="F171" s="591"/>
    </row>
    <row r="172" spans="1:13" s="5" customFormat="1" ht="15" customHeight="1" x14ac:dyDescent="0.25">
      <c r="A172" s="136" t="s">
        <v>290</v>
      </c>
      <c r="B172" s="113" t="s">
        <v>279</v>
      </c>
      <c r="C172" s="60" t="s">
        <v>18</v>
      </c>
      <c r="D172" s="131">
        <v>2</v>
      </c>
      <c r="E172" s="594"/>
      <c r="F172" s="591"/>
    </row>
    <row r="173" spans="1:13" s="5" customFormat="1" ht="15" customHeight="1" x14ac:dyDescent="0.25">
      <c r="A173" s="135" t="s">
        <v>29</v>
      </c>
      <c r="B173" s="111" t="s">
        <v>232</v>
      </c>
      <c r="C173" s="60"/>
      <c r="D173" s="131"/>
      <c r="E173" s="594"/>
      <c r="F173" s="591"/>
    </row>
    <row r="174" spans="1:13" s="5" customFormat="1" ht="15" customHeight="1" x14ac:dyDescent="0.25">
      <c r="A174" s="65" t="s">
        <v>91</v>
      </c>
      <c r="B174" s="113" t="s">
        <v>265</v>
      </c>
      <c r="C174" s="60" t="s">
        <v>54</v>
      </c>
      <c r="D174" s="131">
        <v>1</v>
      </c>
      <c r="E174" s="594"/>
      <c r="F174" s="591"/>
    </row>
    <row r="175" spans="1:13" s="5" customFormat="1" ht="15" customHeight="1" thickBot="1" x14ac:dyDescent="0.3">
      <c r="A175" s="65"/>
      <c r="B175" s="113"/>
      <c r="C175" s="60"/>
      <c r="D175" s="131"/>
      <c r="E175" s="80"/>
      <c r="F175" s="119"/>
    </row>
    <row r="176" spans="1:13" s="86" customFormat="1" ht="15" customHeight="1" thickBot="1" x14ac:dyDescent="0.35">
      <c r="A176" s="767" t="s">
        <v>291</v>
      </c>
      <c r="B176" s="768"/>
      <c r="C176" s="768"/>
      <c r="D176" s="768"/>
      <c r="E176" s="768"/>
      <c r="F176" s="589"/>
      <c r="G176" s="160"/>
      <c r="H176" s="160"/>
      <c r="L176" s="160"/>
      <c r="M176" s="160"/>
    </row>
    <row r="177" spans="1:13" s="5" customFormat="1" ht="15" customHeight="1" x14ac:dyDescent="0.25">
      <c r="A177" s="65"/>
      <c r="B177" s="113"/>
      <c r="C177" s="60"/>
      <c r="D177" s="218"/>
      <c r="E177" s="80"/>
      <c r="F177" s="119"/>
    </row>
    <row r="178" spans="1:13" s="3" customFormat="1" ht="15" customHeight="1" x14ac:dyDescent="0.3">
      <c r="A178" s="58" t="s">
        <v>292</v>
      </c>
      <c r="B178" s="99" t="s">
        <v>293</v>
      </c>
      <c r="C178" s="60"/>
      <c r="D178" s="131"/>
      <c r="E178" s="51"/>
      <c r="F178" s="89"/>
      <c r="G178" s="2"/>
      <c r="H178" s="2"/>
      <c r="I178" s="2"/>
    </row>
    <row r="179" spans="1:13" s="5" customFormat="1" ht="15" customHeight="1" x14ac:dyDescent="0.25">
      <c r="A179" s="65"/>
      <c r="B179" s="113"/>
      <c r="C179" s="60"/>
      <c r="D179" s="218"/>
      <c r="E179" s="80"/>
      <c r="F179" s="119"/>
    </row>
    <row r="180" spans="1:13" customFormat="1" ht="15" customHeight="1" x14ac:dyDescent="0.3">
      <c r="A180" s="64" t="s">
        <v>294</v>
      </c>
      <c r="B180" s="111" t="s">
        <v>295</v>
      </c>
      <c r="C180" s="60"/>
      <c r="D180" s="131"/>
      <c r="E180" s="80"/>
      <c r="F180" s="119"/>
    </row>
    <row r="181" spans="1:13" s="5" customFormat="1" ht="15" customHeight="1" x14ac:dyDescent="0.25">
      <c r="A181" s="64" t="s">
        <v>296</v>
      </c>
      <c r="B181" s="127" t="s">
        <v>297</v>
      </c>
      <c r="C181" s="60"/>
      <c r="D181" s="218"/>
      <c r="E181" s="80"/>
      <c r="F181" s="119"/>
    </row>
    <row r="182" spans="1:13" s="5" customFormat="1" ht="15" customHeight="1" x14ac:dyDescent="0.25">
      <c r="A182" s="65" t="s">
        <v>298</v>
      </c>
      <c r="B182" s="113" t="s">
        <v>301</v>
      </c>
      <c r="C182" s="60" t="s">
        <v>18</v>
      </c>
      <c r="D182" s="131">
        <v>1</v>
      </c>
      <c r="E182" s="594"/>
      <c r="F182" s="591"/>
    </row>
    <row r="183" spans="1:13" s="5" customFormat="1" ht="15" customHeight="1" x14ac:dyDescent="0.25">
      <c r="A183" s="65" t="s">
        <v>299</v>
      </c>
      <c r="B183" s="113" t="s">
        <v>302</v>
      </c>
      <c r="C183" s="60" t="s">
        <v>18</v>
      </c>
      <c r="D183" s="131">
        <v>1</v>
      </c>
      <c r="E183" s="594"/>
      <c r="F183" s="591"/>
    </row>
    <row r="184" spans="1:13" s="5" customFormat="1" ht="15" customHeight="1" x14ac:dyDescent="0.25">
      <c r="A184" s="64" t="s">
        <v>305</v>
      </c>
      <c r="B184" s="127" t="s">
        <v>300</v>
      </c>
      <c r="C184" s="60"/>
      <c r="D184" s="131"/>
      <c r="E184" s="594"/>
      <c r="F184" s="591"/>
    </row>
    <row r="185" spans="1:13" s="5" customFormat="1" ht="15" customHeight="1" x14ac:dyDescent="0.25">
      <c r="A185" s="65" t="s">
        <v>306</v>
      </c>
      <c r="B185" s="113" t="s">
        <v>303</v>
      </c>
      <c r="C185" s="60" t="s">
        <v>18</v>
      </c>
      <c r="D185" s="131">
        <v>3</v>
      </c>
      <c r="E185" s="594"/>
      <c r="F185" s="591"/>
    </row>
    <row r="186" spans="1:13" s="5" customFormat="1" ht="15" customHeight="1" x14ac:dyDescent="0.25">
      <c r="A186" s="65" t="s">
        <v>307</v>
      </c>
      <c r="B186" s="113" t="s">
        <v>304</v>
      </c>
      <c r="C186" s="60" t="s">
        <v>18</v>
      </c>
      <c r="D186" s="131">
        <v>1</v>
      </c>
      <c r="E186" s="594"/>
      <c r="F186" s="591"/>
    </row>
    <row r="187" spans="1:13" s="5" customFormat="1" ht="15" customHeight="1" thickBot="1" x14ac:dyDescent="0.3">
      <c r="A187" s="65"/>
      <c r="B187" s="113"/>
      <c r="C187" s="60"/>
      <c r="D187" s="218"/>
      <c r="E187" s="80"/>
      <c r="F187" s="119"/>
    </row>
    <row r="188" spans="1:13" s="86" customFormat="1" ht="15" customHeight="1" thickBot="1" x14ac:dyDescent="0.35">
      <c r="A188" s="767" t="s">
        <v>308</v>
      </c>
      <c r="B188" s="768"/>
      <c r="C188" s="768"/>
      <c r="D188" s="768"/>
      <c r="E188" s="768"/>
      <c r="F188" s="586"/>
      <c r="G188" s="160"/>
      <c r="H188" s="160"/>
      <c r="L188" s="160"/>
      <c r="M188" s="160"/>
    </row>
    <row r="189" spans="1:13" s="5" customFormat="1" ht="15" customHeight="1" x14ac:dyDescent="0.25">
      <c r="A189" s="65"/>
      <c r="B189" s="113"/>
      <c r="C189" s="60"/>
      <c r="D189" s="218"/>
      <c r="E189" s="80"/>
      <c r="F189" s="119"/>
    </row>
    <row r="190" spans="1:13" s="3" customFormat="1" ht="15" customHeight="1" x14ac:dyDescent="0.3">
      <c r="A190" s="58" t="s">
        <v>309</v>
      </c>
      <c r="B190" s="99" t="s">
        <v>310</v>
      </c>
      <c r="C190" s="60"/>
      <c r="D190" s="131"/>
      <c r="E190" s="51"/>
      <c r="F190" s="89"/>
      <c r="G190" s="2"/>
      <c r="H190" s="2"/>
      <c r="I190" s="2"/>
    </row>
    <row r="191" spans="1:13" s="5" customFormat="1" ht="15" customHeight="1" x14ac:dyDescent="0.25">
      <c r="A191" s="65"/>
      <c r="B191" s="113"/>
      <c r="C191" s="60"/>
      <c r="D191" s="218"/>
      <c r="E191" s="80"/>
      <c r="F191" s="119"/>
    </row>
    <row r="192" spans="1:13" customFormat="1" ht="15" customHeight="1" x14ac:dyDescent="0.3">
      <c r="A192" s="64" t="s">
        <v>48</v>
      </c>
      <c r="B192" s="111" t="s">
        <v>88</v>
      </c>
      <c r="C192" s="60"/>
      <c r="D192" s="131"/>
      <c r="E192" s="80"/>
      <c r="F192" s="119"/>
    </row>
    <row r="193" spans="1:13" s="5" customFormat="1" ht="15" customHeight="1" x14ac:dyDescent="0.25">
      <c r="A193" s="64" t="s">
        <v>49</v>
      </c>
      <c r="B193" s="127" t="s">
        <v>311</v>
      </c>
      <c r="C193" s="60"/>
      <c r="D193" s="218"/>
      <c r="E193" s="80"/>
      <c r="F193" s="119"/>
    </row>
    <row r="194" spans="1:13" s="5" customFormat="1" ht="15" customHeight="1" x14ac:dyDescent="0.25">
      <c r="A194" s="65" t="s">
        <v>313</v>
      </c>
      <c r="B194" s="113" t="s">
        <v>312</v>
      </c>
      <c r="C194" s="60" t="s">
        <v>414</v>
      </c>
      <c r="D194" s="131">
        <v>1</v>
      </c>
      <c r="E194" s="393"/>
      <c r="F194" s="590"/>
    </row>
    <row r="195" spans="1:13" customFormat="1" ht="15" customHeight="1" x14ac:dyDescent="0.3">
      <c r="A195" s="64" t="s">
        <v>316</v>
      </c>
      <c r="B195" s="111" t="s">
        <v>314</v>
      </c>
      <c r="C195" s="60"/>
      <c r="D195" s="131"/>
      <c r="E195" s="393"/>
      <c r="F195" s="590"/>
    </row>
    <row r="196" spans="1:13" customFormat="1" ht="15" customHeight="1" x14ac:dyDescent="0.3">
      <c r="A196" s="65" t="s">
        <v>319</v>
      </c>
      <c r="B196" s="113" t="s">
        <v>315</v>
      </c>
      <c r="C196" s="60" t="s">
        <v>15</v>
      </c>
      <c r="D196" s="131">
        <f>+(8.29+2*0.3+3)*1.2</f>
        <v>14.267999999999999</v>
      </c>
      <c r="E196" s="393"/>
      <c r="F196" s="590"/>
    </row>
    <row r="197" spans="1:13" customFormat="1" ht="15" customHeight="1" x14ac:dyDescent="0.3">
      <c r="A197" s="65" t="s">
        <v>320</v>
      </c>
      <c r="B197" s="113" t="s">
        <v>318</v>
      </c>
      <c r="C197" s="60" t="s">
        <v>15</v>
      </c>
      <c r="D197" s="131">
        <f>+D196</f>
        <v>14.267999999999999</v>
      </c>
      <c r="E197" s="393"/>
      <c r="F197" s="590"/>
    </row>
    <row r="198" spans="1:13" customFormat="1" ht="15" customHeight="1" x14ac:dyDescent="0.3">
      <c r="A198" s="65" t="s">
        <v>321</v>
      </c>
      <c r="B198" s="113" t="s">
        <v>317</v>
      </c>
      <c r="C198" s="60" t="s">
        <v>18</v>
      </c>
      <c r="D198" s="131">
        <v>1</v>
      </c>
      <c r="E198" s="393"/>
      <c r="F198" s="590"/>
    </row>
    <row r="199" spans="1:13" customFormat="1" ht="15" customHeight="1" x14ac:dyDescent="0.3">
      <c r="A199" s="64" t="s">
        <v>323</v>
      </c>
      <c r="B199" s="111" t="s">
        <v>322</v>
      </c>
      <c r="C199" s="60"/>
      <c r="D199" s="131"/>
      <c r="E199" s="393"/>
      <c r="F199" s="590"/>
    </row>
    <row r="200" spans="1:13" s="5" customFormat="1" ht="15" customHeight="1" x14ac:dyDescent="0.25">
      <c r="A200" s="65" t="s">
        <v>325</v>
      </c>
      <c r="B200" s="113" t="s">
        <v>324</v>
      </c>
      <c r="C200" s="60" t="s">
        <v>18</v>
      </c>
      <c r="D200" s="131">
        <v>2</v>
      </c>
      <c r="E200" s="393"/>
      <c r="F200" s="590"/>
    </row>
    <row r="201" spans="1:13" s="5" customFormat="1" ht="15" customHeight="1" thickBot="1" x14ac:dyDescent="0.3">
      <c r="A201" s="65"/>
      <c r="B201" s="113"/>
      <c r="C201" s="60"/>
      <c r="D201" s="218"/>
      <c r="E201" s="80"/>
      <c r="F201" s="119"/>
    </row>
    <row r="202" spans="1:13" s="86" customFormat="1" ht="15" customHeight="1" thickBot="1" x14ac:dyDescent="0.35">
      <c r="A202" s="767" t="s">
        <v>326</v>
      </c>
      <c r="B202" s="768"/>
      <c r="C202" s="768"/>
      <c r="D202" s="768"/>
      <c r="E202" s="768"/>
      <c r="F202" s="586"/>
      <c r="G202" s="160"/>
      <c r="H202" s="160"/>
      <c r="L202" s="160"/>
      <c r="M202" s="160"/>
    </row>
    <row r="203" spans="1:13" s="5" customFormat="1" ht="15" customHeight="1" x14ac:dyDescent="0.25">
      <c r="A203" s="65"/>
      <c r="B203" s="113"/>
      <c r="C203" s="60"/>
      <c r="D203" s="218"/>
      <c r="E203" s="80"/>
      <c r="F203" s="119"/>
    </row>
    <row r="204" spans="1:13" s="3" customFormat="1" ht="15" customHeight="1" x14ac:dyDescent="0.3">
      <c r="A204" s="58" t="s">
        <v>327</v>
      </c>
      <c r="B204" s="99" t="s">
        <v>328</v>
      </c>
      <c r="C204" s="60"/>
      <c r="D204" s="131"/>
      <c r="E204" s="51"/>
      <c r="F204" s="89"/>
      <c r="G204" s="2"/>
      <c r="H204" s="2"/>
      <c r="I204" s="2"/>
    </row>
    <row r="205" spans="1:13" s="5" customFormat="1" ht="15" customHeight="1" x14ac:dyDescent="0.25">
      <c r="A205" s="65"/>
      <c r="B205" s="113"/>
      <c r="C205" s="60"/>
      <c r="D205" s="218"/>
      <c r="E205" s="80"/>
      <c r="F205" s="119"/>
    </row>
    <row r="206" spans="1:13" s="5" customFormat="1" ht="15" customHeight="1" x14ac:dyDescent="0.25">
      <c r="A206" s="64" t="s">
        <v>93</v>
      </c>
      <c r="B206" s="111" t="s">
        <v>329</v>
      </c>
      <c r="C206" s="60"/>
      <c r="D206" s="218"/>
      <c r="E206" s="80"/>
      <c r="F206" s="119"/>
    </row>
    <row r="207" spans="1:13" s="5" customFormat="1" ht="15" customHeight="1" x14ac:dyDescent="0.25">
      <c r="A207" s="64" t="s">
        <v>94</v>
      </c>
      <c r="B207" s="127" t="s">
        <v>330</v>
      </c>
      <c r="C207" s="60"/>
      <c r="D207" s="218"/>
      <c r="E207" s="80"/>
      <c r="F207" s="119"/>
    </row>
    <row r="208" spans="1:13" s="74" customFormat="1" ht="24.9" customHeight="1" x14ac:dyDescent="0.25">
      <c r="A208" s="66" t="s">
        <v>332</v>
      </c>
      <c r="B208" s="69" t="s">
        <v>709</v>
      </c>
      <c r="C208" s="62" t="s">
        <v>18</v>
      </c>
      <c r="D208" s="70">
        <v>2</v>
      </c>
      <c r="E208" s="383"/>
      <c r="F208" s="591"/>
    </row>
    <row r="209" spans="1:13" s="5" customFormat="1" ht="15" customHeight="1" thickBot="1" x14ac:dyDescent="0.3">
      <c r="A209" s="65"/>
      <c r="B209" s="113"/>
      <c r="C209" s="60"/>
      <c r="D209" s="218"/>
      <c r="E209" s="80"/>
      <c r="F209" s="591"/>
    </row>
    <row r="210" spans="1:13" s="86" customFormat="1" ht="15" customHeight="1" thickBot="1" x14ac:dyDescent="0.35">
      <c r="A210" s="767" t="s">
        <v>333</v>
      </c>
      <c r="B210" s="768"/>
      <c r="C210" s="768"/>
      <c r="D210" s="768"/>
      <c r="E210" s="768"/>
      <c r="F210" s="586"/>
      <c r="G210" s="160"/>
      <c r="H210" s="160"/>
      <c r="L210" s="160"/>
      <c r="M210" s="160"/>
    </row>
    <row r="211" spans="1:13" s="5" customFormat="1" ht="15" customHeight="1" x14ac:dyDescent="0.25">
      <c r="A211" s="65"/>
      <c r="B211" s="113"/>
      <c r="C211" s="60"/>
      <c r="D211" s="218"/>
      <c r="E211" s="80"/>
      <c r="F211" s="119"/>
    </row>
    <row r="212" spans="1:13" s="3" customFormat="1" ht="15" customHeight="1" x14ac:dyDescent="0.3">
      <c r="A212" s="58" t="s">
        <v>334</v>
      </c>
      <c r="B212" s="99" t="s">
        <v>335</v>
      </c>
      <c r="C212" s="60"/>
      <c r="D212" s="131"/>
      <c r="E212" s="51"/>
      <c r="F212" s="89"/>
      <c r="G212" s="2"/>
      <c r="H212" s="2"/>
      <c r="I212" s="2"/>
    </row>
    <row r="213" spans="1:13" s="5" customFormat="1" ht="15" customHeight="1" x14ac:dyDescent="0.25">
      <c r="A213" s="65"/>
      <c r="B213" s="113"/>
      <c r="C213" s="60"/>
      <c r="D213" s="218"/>
      <c r="E213" s="80"/>
      <c r="F213" s="119"/>
    </row>
    <row r="214" spans="1:13" s="5" customFormat="1" ht="15" customHeight="1" x14ac:dyDescent="0.25">
      <c r="A214" s="64" t="s">
        <v>69</v>
      </c>
      <c r="B214" s="111" t="s">
        <v>336</v>
      </c>
      <c r="C214" s="60"/>
      <c r="D214" s="218"/>
      <c r="E214" s="80"/>
      <c r="F214" s="119"/>
    </row>
    <row r="215" spans="1:13" s="5" customFormat="1" ht="15" customHeight="1" x14ac:dyDescent="0.25">
      <c r="A215" s="64" t="s">
        <v>70</v>
      </c>
      <c r="B215" s="127" t="s">
        <v>337</v>
      </c>
      <c r="C215" s="60"/>
      <c r="D215" s="218"/>
      <c r="E215" s="80"/>
      <c r="F215" s="119"/>
    </row>
    <row r="216" spans="1:13" s="5" customFormat="1" ht="15" customHeight="1" x14ac:dyDescent="0.25">
      <c r="A216" s="65" t="s">
        <v>342</v>
      </c>
      <c r="B216" s="113" t="s">
        <v>671</v>
      </c>
      <c r="C216" s="163" t="s">
        <v>131</v>
      </c>
      <c r="D216" s="131">
        <f>10.97+8.63+14.68+8.79</f>
        <v>43.07</v>
      </c>
      <c r="E216" s="393"/>
      <c r="F216" s="591"/>
    </row>
    <row r="217" spans="1:13" s="5" customFormat="1" ht="15" customHeight="1" x14ac:dyDescent="0.25">
      <c r="A217" s="65" t="s">
        <v>343</v>
      </c>
      <c r="B217" s="113" t="s">
        <v>338</v>
      </c>
      <c r="C217" s="163" t="s">
        <v>131</v>
      </c>
      <c r="D217" s="131">
        <f>2*2.4</f>
        <v>4.8</v>
      </c>
      <c r="E217" s="393"/>
      <c r="F217" s="591"/>
    </row>
    <row r="218" spans="1:13" s="5" customFormat="1" ht="15" customHeight="1" x14ac:dyDescent="0.25">
      <c r="A218" s="65" t="s">
        <v>344</v>
      </c>
      <c r="B218" s="113" t="s">
        <v>339</v>
      </c>
      <c r="C218" s="60" t="s">
        <v>15</v>
      </c>
      <c r="D218" s="131">
        <f>+((13.28-0.9)+(15.14-(2*0.9+0.8))+(17.64-(0.9+0.8))+4.58+(2*1.68)+(0.28*4)+(0.18*6))</f>
        <v>50.999999999999993</v>
      </c>
      <c r="E218" s="393"/>
      <c r="F218" s="591"/>
    </row>
    <row r="219" spans="1:13" s="5" customFormat="1" ht="15" customHeight="1" x14ac:dyDescent="0.25">
      <c r="A219" s="64" t="s">
        <v>345</v>
      </c>
      <c r="B219" s="111" t="s">
        <v>340</v>
      </c>
      <c r="C219" s="60"/>
      <c r="D219" s="131"/>
      <c r="E219" s="393"/>
      <c r="F219" s="591"/>
    </row>
    <row r="220" spans="1:13" s="5" customFormat="1" ht="15" customHeight="1" x14ac:dyDescent="0.25">
      <c r="A220" s="64" t="s">
        <v>346</v>
      </c>
      <c r="B220" s="127" t="s">
        <v>341</v>
      </c>
      <c r="C220" s="60"/>
      <c r="D220" s="131"/>
      <c r="E220" s="393"/>
      <c r="F220" s="591"/>
    </row>
    <row r="221" spans="1:13" s="5" customFormat="1" ht="15" customHeight="1" x14ac:dyDescent="0.25">
      <c r="A221" s="65" t="s">
        <v>347</v>
      </c>
      <c r="B221" s="113" t="s">
        <v>429</v>
      </c>
      <c r="C221" s="163" t="s">
        <v>131</v>
      </c>
      <c r="D221" s="131">
        <f>(6.4-0.8)*2.2*2</f>
        <v>24.640000000000004</v>
      </c>
      <c r="E221" s="393"/>
      <c r="F221" s="591"/>
    </row>
    <row r="222" spans="1:13" s="5" customFormat="1" ht="15" customHeight="1" thickBot="1" x14ac:dyDescent="0.3">
      <c r="A222" s="65"/>
      <c r="B222" s="113"/>
      <c r="C222" s="60"/>
      <c r="D222" s="218"/>
      <c r="E222" s="80"/>
      <c r="F222" s="119"/>
    </row>
    <row r="223" spans="1:13" s="5" customFormat="1" ht="15" customHeight="1" thickBot="1" x14ac:dyDescent="0.35">
      <c r="A223" s="767" t="s">
        <v>348</v>
      </c>
      <c r="B223" s="768"/>
      <c r="C223" s="768"/>
      <c r="D223" s="768"/>
      <c r="E223" s="768"/>
      <c r="F223" s="586"/>
      <c r="G223" s="8"/>
      <c r="H223" s="8"/>
      <c r="L223" s="8"/>
      <c r="M223" s="8"/>
    </row>
    <row r="224" spans="1:13" s="5" customFormat="1" ht="15" customHeight="1" x14ac:dyDescent="0.25">
      <c r="A224" s="65"/>
      <c r="B224" s="113"/>
      <c r="C224" s="60"/>
      <c r="D224" s="218"/>
      <c r="E224" s="80"/>
      <c r="F224" s="119"/>
    </row>
    <row r="225" spans="1:13" s="3" customFormat="1" ht="15" customHeight="1" x14ac:dyDescent="0.3">
      <c r="A225" s="58" t="s">
        <v>349</v>
      </c>
      <c r="B225" s="99" t="s">
        <v>350</v>
      </c>
      <c r="C225" s="60"/>
      <c r="D225" s="131"/>
      <c r="E225" s="51"/>
      <c r="F225" s="89"/>
      <c r="G225" s="2"/>
      <c r="H225" s="2"/>
      <c r="I225" s="2"/>
    </row>
    <row r="226" spans="1:13" s="5" customFormat="1" ht="15" customHeight="1" x14ac:dyDescent="0.25">
      <c r="A226" s="65"/>
      <c r="B226" s="113"/>
      <c r="C226" s="60"/>
      <c r="D226" s="218"/>
      <c r="E226" s="80"/>
      <c r="F226" s="119"/>
    </row>
    <row r="227" spans="1:13" s="5" customFormat="1" ht="15" customHeight="1" x14ac:dyDescent="0.25">
      <c r="A227" s="64" t="s">
        <v>32</v>
      </c>
      <c r="B227" s="111" t="s">
        <v>354</v>
      </c>
      <c r="C227" s="60"/>
      <c r="D227" s="218"/>
      <c r="E227" s="80"/>
      <c r="F227" s="119"/>
    </row>
    <row r="228" spans="1:13" s="55" customFormat="1" ht="15" customHeight="1" x14ac:dyDescent="0.25">
      <c r="A228" s="64" t="s">
        <v>41</v>
      </c>
      <c r="B228" s="127" t="s">
        <v>355</v>
      </c>
      <c r="C228" s="60"/>
      <c r="D228" s="131"/>
      <c r="E228" s="80"/>
      <c r="F228" s="119"/>
    </row>
    <row r="229" spans="1:13" s="79" customFormat="1" ht="24.9" customHeight="1" x14ac:dyDescent="0.25">
      <c r="A229" s="66" t="s">
        <v>356</v>
      </c>
      <c r="B229" s="69" t="s">
        <v>426</v>
      </c>
      <c r="C229" s="62" t="s">
        <v>18</v>
      </c>
      <c r="D229" s="70">
        <v>1</v>
      </c>
      <c r="E229" s="383"/>
      <c r="F229" s="591"/>
    </row>
    <row r="230" spans="1:13" s="79" customFormat="1" ht="24.9" customHeight="1" x14ac:dyDescent="0.25">
      <c r="A230" s="66" t="s">
        <v>357</v>
      </c>
      <c r="B230" s="69" t="s">
        <v>362</v>
      </c>
      <c r="C230" s="62" t="s">
        <v>18</v>
      </c>
      <c r="D230" s="70">
        <f>1+1</f>
        <v>2</v>
      </c>
      <c r="E230" s="383"/>
      <c r="F230" s="591"/>
    </row>
    <row r="231" spans="1:13" s="55" customFormat="1" ht="25.5" customHeight="1" x14ac:dyDescent="0.25">
      <c r="A231" s="66" t="s">
        <v>427</v>
      </c>
      <c r="B231" s="69" t="s">
        <v>363</v>
      </c>
      <c r="C231" s="60" t="s">
        <v>18</v>
      </c>
      <c r="D231" s="131">
        <f>1+1</f>
        <v>2</v>
      </c>
      <c r="E231" s="393"/>
      <c r="F231" s="591"/>
    </row>
    <row r="232" spans="1:13" s="55" customFormat="1" ht="15" customHeight="1" x14ac:dyDescent="0.25">
      <c r="A232" s="64" t="s">
        <v>33</v>
      </c>
      <c r="B232" s="127" t="s">
        <v>358</v>
      </c>
      <c r="C232" s="60" t="s">
        <v>6</v>
      </c>
      <c r="D232" s="219"/>
      <c r="E232" s="393"/>
      <c r="F232" s="591"/>
    </row>
    <row r="233" spans="1:13" s="79" customFormat="1" ht="24.9" customHeight="1" x14ac:dyDescent="0.25">
      <c r="A233" s="66" t="s">
        <v>359</v>
      </c>
      <c r="B233" s="69" t="s">
        <v>353</v>
      </c>
      <c r="C233" s="62" t="s">
        <v>18</v>
      </c>
      <c r="D233" s="70">
        <v>5</v>
      </c>
      <c r="E233" s="383"/>
      <c r="F233" s="591"/>
    </row>
    <row r="234" spans="1:13" s="79" customFormat="1" ht="24.9" customHeight="1" x14ac:dyDescent="0.25">
      <c r="A234" s="66" t="s">
        <v>360</v>
      </c>
      <c r="B234" s="69" t="s">
        <v>352</v>
      </c>
      <c r="C234" s="62" t="s">
        <v>18</v>
      </c>
      <c r="D234" s="70">
        <v>1</v>
      </c>
      <c r="E234" s="383"/>
      <c r="F234" s="591"/>
    </row>
    <row r="235" spans="1:13" s="79" customFormat="1" ht="24.9" customHeight="1" x14ac:dyDescent="0.25">
      <c r="A235" s="66" t="s">
        <v>361</v>
      </c>
      <c r="B235" s="69" t="s">
        <v>351</v>
      </c>
      <c r="C235" s="62" t="s">
        <v>18</v>
      </c>
      <c r="D235" s="70">
        <v>2</v>
      </c>
      <c r="E235" s="383"/>
      <c r="F235" s="591"/>
    </row>
    <row r="236" spans="1:13" s="55" customFormat="1" ht="15" customHeight="1" x14ac:dyDescent="0.25">
      <c r="A236" s="64" t="s">
        <v>34</v>
      </c>
      <c r="B236" s="111" t="s">
        <v>50</v>
      </c>
      <c r="C236" s="60"/>
      <c r="D236" s="131"/>
      <c r="E236" s="393"/>
      <c r="F236" s="591"/>
    </row>
    <row r="237" spans="1:13" s="79" customFormat="1" ht="24.9" customHeight="1" x14ac:dyDescent="0.25">
      <c r="A237" s="65" t="s">
        <v>68</v>
      </c>
      <c r="B237" s="69" t="s">
        <v>364</v>
      </c>
      <c r="C237" s="163" t="s">
        <v>131</v>
      </c>
      <c r="D237" s="70">
        <f>2*2.8</f>
        <v>5.6</v>
      </c>
      <c r="E237" s="383"/>
      <c r="F237" s="591"/>
    </row>
    <row r="238" spans="1:13" customFormat="1" ht="15" customHeight="1" thickBot="1" x14ac:dyDescent="0.35">
      <c r="A238" s="700"/>
      <c r="B238" s="717"/>
      <c r="C238" s="718"/>
      <c r="D238" s="719"/>
      <c r="E238" s="207"/>
      <c r="F238" s="115"/>
    </row>
    <row r="239" spans="1:13" s="5" customFormat="1" ht="15" customHeight="1" thickBot="1" x14ac:dyDescent="0.35">
      <c r="A239" s="767" t="s">
        <v>366</v>
      </c>
      <c r="B239" s="768"/>
      <c r="C239" s="768"/>
      <c r="D239" s="768"/>
      <c r="E239" s="768"/>
      <c r="F239" s="586"/>
      <c r="G239" s="8"/>
      <c r="H239" s="8"/>
      <c r="L239" s="8"/>
      <c r="M239" s="8"/>
    </row>
    <row r="240" spans="1:13" s="5" customFormat="1" x14ac:dyDescent="0.3">
      <c r="A240" s="54"/>
      <c r="B240" s="111"/>
      <c r="C240" s="60"/>
      <c r="D240" s="218"/>
      <c r="E240" s="80"/>
      <c r="F240" s="112"/>
    </row>
    <row r="241" spans="1:13" s="3" customFormat="1" ht="15" customHeight="1" x14ac:dyDescent="0.3">
      <c r="A241" s="58" t="s">
        <v>367</v>
      </c>
      <c r="B241" s="99" t="s">
        <v>368</v>
      </c>
      <c r="C241" s="60"/>
      <c r="D241" s="131"/>
      <c r="E241" s="51"/>
      <c r="F241" s="89"/>
      <c r="G241" s="2"/>
      <c r="H241" s="2"/>
      <c r="I241" s="2"/>
    </row>
    <row r="242" spans="1:13" s="5" customFormat="1" x14ac:dyDescent="0.3">
      <c r="A242" s="54"/>
      <c r="B242" s="111"/>
      <c r="C242" s="60"/>
      <c r="D242" s="218"/>
      <c r="E242" s="80"/>
      <c r="F242" s="112"/>
    </row>
    <row r="243" spans="1:13" s="5" customFormat="1" ht="13.2" x14ac:dyDescent="0.25">
      <c r="A243" s="64" t="s">
        <v>64</v>
      </c>
      <c r="B243" s="111" t="s">
        <v>369</v>
      </c>
      <c r="C243" s="60"/>
      <c r="D243" s="218"/>
      <c r="E243" s="80"/>
      <c r="F243" s="119"/>
    </row>
    <row r="244" spans="1:13" s="74" customFormat="1" ht="24.9" customHeight="1" x14ac:dyDescent="0.25">
      <c r="A244" s="66" t="s">
        <v>65</v>
      </c>
      <c r="B244" s="69" t="s">
        <v>370</v>
      </c>
      <c r="C244" s="163" t="s">
        <v>131</v>
      </c>
      <c r="D244" s="70">
        <f>+D216</f>
        <v>43.07</v>
      </c>
      <c r="E244" s="383"/>
      <c r="F244" s="591"/>
    </row>
    <row r="245" spans="1:13" s="5" customFormat="1" ht="13.2" x14ac:dyDescent="0.25">
      <c r="A245" s="64" t="s">
        <v>66</v>
      </c>
      <c r="B245" s="111" t="s">
        <v>704</v>
      </c>
      <c r="C245" s="60"/>
      <c r="D245" s="131"/>
      <c r="E245" s="393"/>
      <c r="F245" s="591"/>
    </row>
    <row r="246" spans="1:13" s="74" customFormat="1" ht="24.9" customHeight="1" x14ac:dyDescent="0.25">
      <c r="A246" s="66" t="s">
        <v>67</v>
      </c>
      <c r="B246" s="69" t="s">
        <v>672</v>
      </c>
      <c r="C246" s="163" t="s">
        <v>131</v>
      </c>
      <c r="D246" s="70">
        <f>(4*5.89+2*6.78)*0.6</f>
        <v>22.271999999999998</v>
      </c>
      <c r="E246" s="383"/>
      <c r="F246" s="591"/>
    </row>
    <row r="247" spans="1:13" s="5" customFormat="1" thickBot="1" x14ac:dyDescent="0.3">
      <c r="A247" s="64"/>
      <c r="B247" s="111"/>
      <c r="C247" s="60"/>
      <c r="D247" s="218"/>
      <c r="E247" s="80"/>
      <c r="F247" s="119"/>
    </row>
    <row r="248" spans="1:13" s="5" customFormat="1" ht="15" customHeight="1" thickBot="1" x14ac:dyDescent="0.35">
      <c r="A248" s="767" t="s">
        <v>371</v>
      </c>
      <c r="B248" s="768"/>
      <c r="C248" s="768"/>
      <c r="D248" s="768"/>
      <c r="E248" s="768"/>
      <c r="F248" s="586"/>
      <c r="G248" s="8"/>
      <c r="H248" s="8"/>
      <c r="L248" s="8"/>
      <c r="M248" s="8"/>
    </row>
    <row r="249" spans="1:13" s="5" customFormat="1" ht="13.2" x14ac:dyDescent="0.25">
      <c r="A249" s="64"/>
      <c r="B249" s="111"/>
      <c r="C249" s="60"/>
      <c r="D249" s="218"/>
      <c r="E249" s="80"/>
      <c r="F249" s="119"/>
    </row>
    <row r="250" spans="1:13" s="3" customFormat="1" ht="15" customHeight="1" x14ac:dyDescent="0.3">
      <c r="A250" s="58" t="s">
        <v>372</v>
      </c>
      <c r="B250" s="99" t="s">
        <v>373</v>
      </c>
      <c r="C250" s="60"/>
      <c r="D250" s="131"/>
      <c r="E250" s="51"/>
      <c r="F250" s="89"/>
      <c r="G250" s="2"/>
      <c r="H250" s="2"/>
      <c r="I250" s="2"/>
    </row>
    <row r="251" spans="1:13" s="5" customFormat="1" ht="13.2" x14ac:dyDescent="0.25">
      <c r="A251" s="64"/>
      <c r="B251" s="111"/>
      <c r="C251" s="60"/>
      <c r="D251" s="218"/>
      <c r="E251" s="80"/>
      <c r="F251" s="119"/>
    </row>
    <row r="252" spans="1:13" customFormat="1" ht="15" customHeight="1" x14ac:dyDescent="0.3">
      <c r="A252" s="64" t="s">
        <v>35</v>
      </c>
      <c r="B252" s="111" t="s">
        <v>374</v>
      </c>
      <c r="C252" s="60" t="s">
        <v>6</v>
      </c>
      <c r="D252" s="131"/>
      <c r="E252" s="80"/>
      <c r="F252" s="119"/>
    </row>
    <row r="253" spans="1:13" customFormat="1" ht="15" customHeight="1" x14ac:dyDescent="0.3">
      <c r="A253" s="64" t="s">
        <v>56</v>
      </c>
      <c r="B253" s="127" t="s">
        <v>376</v>
      </c>
      <c r="C253" s="60"/>
      <c r="D253" s="131"/>
      <c r="E253" s="80"/>
      <c r="F253" s="119"/>
    </row>
    <row r="254" spans="1:13" s="19" customFormat="1" ht="15" customHeight="1" x14ac:dyDescent="0.3">
      <c r="A254" s="65" t="s">
        <v>377</v>
      </c>
      <c r="B254" s="113" t="s">
        <v>375</v>
      </c>
      <c r="C254" s="163" t="s">
        <v>131</v>
      </c>
      <c r="D254" s="131">
        <f>+D66+D67</f>
        <v>278.11599999999999</v>
      </c>
      <c r="E254" s="393"/>
      <c r="F254" s="591"/>
    </row>
    <row r="255" spans="1:13" customFormat="1" ht="15" customHeight="1" x14ac:dyDescent="0.3">
      <c r="A255" s="64" t="s">
        <v>36</v>
      </c>
      <c r="B255" s="111" t="s">
        <v>378</v>
      </c>
      <c r="C255" s="60"/>
      <c r="D255" s="131"/>
      <c r="E255" s="393"/>
      <c r="F255" s="591"/>
    </row>
    <row r="256" spans="1:13" customFormat="1" ht="15" customHeight="1" x14ac:dyDescent="0.3">
      <c r="A256" s="64" t="s">
        <v>59</v>
      </c>
      <c r="B256" s="127" t="s">
        <v>379</v>
      </c>
      <c r="C256" s="60"/>
      <c r="D256" s="131"/>
      <c r="E256" s="393"/>
      <c r="F256" s="591"/>
    </row>
    <row r="257" spans="1:13" customFormat="1" ht="15" customHeight="1" x14ac:dyDescent="0.3">
      <c r="A257" s="65" t="s">
        <v>380</v>
      </c>
      <c r="B257" s="113" t="s">
        <v>383</v>
      </c>
      <c r="C257" s="163" t="s">
        <v>131</v>
      </c>
      <c r="D257" s="131">
        <f>+D67+2*6.4*0.6</f>
        <v>187.96600000000001</v>
      </c>
      <c r="E257" s="393"/>
      <c r="F257" s="591"/>
    </row>
    <row r="258" spans="1:13" customFormat="1" ht="15" customHeight="1" x14ac:dyDescent="0.3">
      <c r="A258" s="64" t="s">
        <v>60</v>
      </c>
      <c r="B258" s="127" t="s">
        <v>382</v>
      </c>
      <c r="C258" s="60"/>
      <c r="D258" s="131"/>
      <c r="E258" s="393"/>
      <c r="F258" s="591"/>
    </row>
    <row r="259" spans="1:13" customFormat="1" ht="15" customHeight="1" x14ac:dyDescent="0.3">
      <c r="A259" s="65" t="s">
        <v>569</v>
      </c>
      <c r="B259" s="113" t="s">
        <v>384</v>
      </c>
      <c r="C259" s="163" t="s">
        <v>131</v>
      </c>
      <c r="D259" s="131">
        <f>+D66</f>
        <v>97.83</v>
      </c>
      <c r="E259" s="393"/>
      <c r="F259" s="591"/>
    </row>
    <row r="260" spans="1:13" customFormat="1" ht="15" customHeight="1" x14ac:dyDescent="0.3">
      <c r="A260" s="64" t="s">
        <v>43</v>
      </c>
      <c r="B260" s="111" t="s">
        <v>385</v>
      </c>
      <c r="C260" s="60"/>
      <c r="D260" s="131"/>
      <c r="E260" s="393"/>
      <c r="F260" s="591"/>
    </row>
    <row r="261" spans="1:13" customFormat="1" ht="15" customHeight="1" x14ac:dyDescent="0.3">
      <c r="A261" s="64" t="s">
        <v>61</v>
      </c>
      <c r="B261" s="127" t="s">
        <v>431</v>
      </c>
      <c r="C261" s="60"/>
      <c r="D261" s="131"/>
      <c r="E261" s="393"/>
      <c r="F261" s="591"/>
    </row>
    <row r="262" spans="1:13" s="18" customFormat="1" ht="15" customHeight="1" x14ac:dyDescent="0.3">
      <c r="A262" s="66" t="s">
        <v>390</v>
      </c>
      <c r="B262" s="69" t="s">
        <v>384</v>
      </c>
      <c r="C262" s="163" t="s">
        <v>131</v>
      </c>
      <c r="D262" s="70">
        <f>2.2*2*(1+2*0.9+2*0.8)+2*(0.03*2*1.14)+0.54*4*0.18*2+2*(0.03*5*2.34)+1.14*4*0.18*5+2*(0.03*2.14)+0.94*4*0.18</f>
        <v>25.885600000000004</v>
      </c>
      <c r="E262" s="383"/>
      <c r="F262" s="591"/>
    </row>
    <row r="263" spans="1:13" s="18" customFormat="1" ht="15" customHeight="1" x14ac:dyDescent="0.3">
      <c r="A263" s="82" t="s">
        <v>62</v>
      </c>
      <c r="B263" s="130" t="s">
        <v>392</v>
      </c>
      <c r="C263" s="62"/>
      <c r="D263" s="70"/>
      <c r="E263" s="383"/>
      <c r="F263" s="591"/>
    </row>
    <row r="264" spans="1:13" s="83" customFormat="1" ht="15" customHeight="1" x14ac:dyDescent="0.3">
      <c r="A264" s="66" t="s">
        <v>391</v>
      </c>
      <c r="B264" s="69" t="s">
        <v>383</v>
      </c>
      <c r="C264" s="163" t="s">
        <v>131</v>
      </c>
      <c r="D264" s="70">
        <f>+D244+D246+(4*5.89+2*6.78)*0.3</f>
        <v>76.477999999999994</v>
      </c>
      <c r="E264" s="383"/>
      <c r="F264" s="591"/>
    </row>
    <row r="265" spans="1:13" customFormat="1" ht="15" customHeight="1" x14ac:dyDescent="0.3">
      <c r="A265" s="64" t="s">
        <v>63</v>
      </c>
      <c r="B265" s="127" t="s">
        <v>388</v>
      </c>
      <c r="C265" s="60"/>
      <c r="D265" s="131"/>
      <c r="E265" s="393"/>
      <c r="F265" s="591"/>
    </row>
    <row r="266" spans="1:13" customFormat="1" ht="15" customHeight="1" x14ac:dyDescent="0.3">
      <c r="A266" s="65" t="s">
        <v>394</v>
      </c>
      <c r="B266" s="69" t="s">
        <v>683</v>
      </c>
      <c r="C266" s="163" t="s">
        <v>131</v>
      </c>
      <c r="D266" s="131">
        <f>+D94+D95+D96</f>
        <v>12.759999999999998</v>
      </c>
      <c r="E266" s="393"/>
      <c r="F266" s="591"/>
    </row>
    <row r="267" spans="1:13" s="597" customFormat="1" ht="15" customHeight="1" x14ac:dyDescent="0.3">
      <c r="A267" s="65" t="s">
        <v>603</v>
      </c>
      <c r="B267" s="69" t="s">
        <v>686</v>
      </c>
      <c r="C267" s="163" t="s">
        <v>131</v>
      </c>
      <c r="D267" s="392">
        <f>+D266</f>
        <v>12.759999999999998</v>
      </c>
      <c r="E267" s="393"/>
      <c r="F267" s="591"/>
    </row>
    <row r="268" spans="1:13" s="504" customFormat="1" ht="15" customHeight="1" x14ac:dyDescent="0.3">
      <c r="A268" s="396" t="s">
        <v>487</v>
      </c>
      <c r="B268" s="111" t="s">
        <v>232</v>
      </c>
      <c r="C268" s="60"/>
      <c r="D268" s="392"/>
      <c r="E268" s="393"/>
      <c r="F268" s="591"/>
    </row>
    <row r="269" spans="1:13" s="504" customFormat="1" ht="24.9" customHeight="1" x14ac:dyDescent="0.3">
      <c r="A269" s="410" t="s">
        <v>488</v>
      </c>
      <c r="B269" s="69" t="s">
        <v>713</v>
      </c>
      <c r="C269" s="62" t="s">
        <v>54</v>
      </c>
      <c r="D269" s="387">
        <v>1</v>
      </c>
      <c r="E269" s="383"/>
      <c r="F269" s="591"/>
    </row>
    <row r="270" spans="1:13" s="5" customFormat="1" ht="14.1" customHeight="1" thickBot="1" x14ac:dyDescent="0.3">
      <c r="A270" s="77"/>
      <c r="B270" s="81"/>
      <c r="C270" s="139"/>
      <c r="D270" s="206"/>
      <c r="E270" s="207"/>
      <c r="F270" s="121"/>
      <c r="H270" s="8"/>
      <c r="I270" s="8"/>
    </row>
    <row r="271" spans="1:13" s="5" customFormat="1" ht="15" customHeight="1" thickBot="1" x14ac:dyDescent="0.35">
      <c r="A271" s="767" t="s">
        <v>395</v>
      </c>
      <c r="B271" s="768"/>
      <c r="C271" s="768"/>
      <c r="D271" s="768"/>
      <c r="E271" s="768"/>
      <c r="F271" s="586"/>
      <c r="G271" s="8"/>
      <c r="H271" s="8"/>
      <c r="L271" s="8"/>
      <c r="M271" s="8"/>
    </row>
    <row r="272" spans="1:13" s="5" customFormat="1" x14ac:dyDescent="0.3">
      <c r="A272" s="140"/>
      <c r="B272" s="141"/>
      <c r="C272" s="141"/>
      <c r="D272" s="141"/>
      <c r="E272" s="141"/>
      <c r="F272" s="596"/>
      <c r="G272" s="8"/>
      <c r="H272" s="8"/>
      <c r="L272" s="8"/>
      <c r="M272" s="8"/>
    </row>
    <row r="273" spans="1:13" s="3" customFormat="1" ht="15" customHeight="1" x14ac:dyDescent="0.3">
      <c r="A273" s="58" t="s">
        <v>396</v>
      </c>
      <c r="B273" s="99" t="s">
        <v>397</v>
      </c>
      <c r="C273" s="60"/>
      <c r="D273" s="131"/>
      <c r="E273" s="51"/>
      <c r="F273" s="89"/>
      <c r="G273" s="2"/>
      <c r="H273" s="2"/>
      <c r="I273" s="2"/>
    </row>
    <row r="274" spans="1:13" s="5" customFormat="1" ht="13.2" x14ac:dyDescent="0.25">
      <c r="A274" s="64"/>
      <c r="B274" s="111"/>
      <c r="C274" s="60"/>
      <c r="D274" s="218"/>
      <c r="E274" s="80"/>
      <c r="F274" s="119"/>
    </row>
    <row r="275" spans="1:13" customFormat="1" ht="15" customHeight="1" x14ac:dyDescent="0.3">
      <c r="A275" s="64" t="s">
        <v>400</v>
      </c>
      <c r="B275" s="111" t="s">
        <v>398</v>
      </c>
      <c r="C275" s="60" t="s">
        <v>6</v>
      </c>
      <c r="D275" s="131"/>
      <c r="E275" s="80"/>
      <c r="F275" s="119"/>
    </row>
    <row r="276" spans="1:13" customFormat="1" ht="15" customHeight="1" x14ac:dyDescent="0.3">
      <c r="A276" s="64" t="s">
        <v>401</v>
      </c>
      <c r="B276" s="127" t="s">
        <v>399</v>
      </c>
      <c r="C276" s="60"/>
      <c r="D276" s="131"/>
      <c r="E276" s="80"/>
      <c r="F276" s="119"/>
    </row>
    <row r="277" spans="1:13" s="83" customFormat="1" ht="24.9" customHeight="1" x14ac:dyDescent="0.3">
      <c r="A277" s="66" t="s">
        <v>402</v>
      </c>
      <c r="B277" s="69" t="s">
        <v>730</v>
      </c>
      <c r="C277" s="163" t="s">
        <v>137</v>
      </c>
      <c r="D277" s="70">
        <f>0.15*0.1*12*6.78</f>
        <v>1.2203999999999999</v>
      </c>
      <c r="E277" s="383"/>
      <c r="F277" s="591"/>
    </row>
    <row r="278" spans="1:13" s="83" customFormat="1" ht="24.9" customHeight="1" x14ac:dyDescent="0.3">
      <c r="A278" s="65" t="s">
        <v>403</v>
      </c>
      <c r="B278" s="69" t="s">
        <v>716</v>
      </c>
      <c r="C278" s="62" t="s">
        <v>15</v>
      </c>
      <c r="D278" s="70">
        <f>4*5.89+2*6.78</f>
        <v>37.119999999999997</v>
      </c>
      <c r="E278" s="383"/>
      <c r="F278" s="591"/>
    </row>
    <row r="279" spans="1:13" s="83" customFormat="1" ht="15" customHeight="1" thickBot="1" x14ac:dyDescent="0.35">
      <c r="A279" s="68"/>
      <c r="B279" s="132"/>
      <c r="C279" s="142"/>
      <c r="D279" s="221"/>
      <c r="E279" s="222"/>
      <c r="F279" s="143"/>
    </row>
    <row r="280" spans="1:13" s="5" customFormat="1" ht="15" customHeight="1" thickBot="1" x14ac:dyDescent="0.35">
      <c r="A280" s="767" t="s">
        <v>404</v>
      </c>
      <c r="B280" s="768"/>
      <c r="C280" s="768"/>
      <c r="D280" s="768"/>
      <c r="E280" s="768"/>
      <c r="F280" s="586"/>
      <c r="G280" s="8"/>
      <c r="H280" s="8"/>
      <c r="L280" s="8"/>
      <c r="M280" s="8"/>
    </row>
    <row r="281" spans="1:13" s="5" customFormat="1" x14ac:dyDescent="0.3">
      <c r="A281" s="140"/>
      <c r="B281" s="141"/>
      <c r="C281" s="141"/>
      <c r="D281" s="141"/>
      <c r="E281" s="141"/>
      <c r="F281" s="118"/>
      <c r="G281" s="8"/>
      <c r="H281" s="8"/>
      <c r="L281" s="8"/>
      <c r="M281" s="8"/>
    </row>
    <row r="282" spans="1:13" s="3" customFormat="1" ht="15" customHeight="1" x14ac:dyDescent="0.3">
      <c r="A282" s="58" t="s">
        <v>405</v>
      </c>
      <c r="B282" s="99" t="s">
        <v>408</v>
      </c>
      <c r="C282" s="60"/>
      <c r="D282" s="131"/>
      <c r="E282" s="615"/>
      <c r="F282" s="614"/>
      <c r="G282" s="2"/>
      <c r="H282" s="2"/>
      <c r="I282" s="2"/>
    </row>
    <row r="283" spans="1:13" s="5" customFormat="1" ht="13.2" x14ac:dyDescent="0.25">
      <c r="A283" s="64"/>
      <c r="B283" s="111"/>
      <c r="C283" s="60"/>
      <c r="D283" s="218"/>
      <c r="E283" s="80"/>
      <c r="F283" s="119"/>
    </row>
    <row r="284" spans="1:13" customFormat="1" ht="15" customHeight="1" x14ac:dyDescent="0.3">
      <c r="A284" s="64" t="s">
        <v>46</v>
      </c>
      <c r="B284" s="111" t="s">
        <v>409</v>
      </c>
      <c r="C284" s="60" t="s">
        <v>6</v>
      </c>
      <c r="D284" s="131"/>
      <c r="E284" s="80"/>
      <c r="F284" s="119"/>
    </row>
    <row r="285" spans="1:13" customFormat="1" ht="15" customHeight="1" x14ac:dyDescent="0.3">
      <c r="A285" s="64" t="s">
        <v>55</v>
      </c>
      <c r="B285" s="127" t="s">
        <v>538</v>
      </c>
      <c r="C285" s="60"/>
      <c r="D285" s="131"/>
      <c r="E285" s="80"/>
      <c r="F285" s="119"/>
    </row>
    <row r="286" spans="1:13" s="83" customFormat="1" ht="15" customHeight="1" x14ac:dyDescent="0.3">
      <c r="A286" s="66" t="s">
        <v>406</v>
      </c>
      <c r="B286" s="69" t="s">
        <v>433</v>
      </c>
      <c r="C286" s="163" t="s">
        <v>131</v>
      </c>
      <c r="D286" s="70">
        <f>2*(6.1*6.78)</f>
        <v>82.715999999999994</v>
      </c>
      <c r="E286" s="383"/>
      <c r="F286" s="591"/>
    </row>
    <row r="287" spans="1:13" s="83" customFormat="1" ht="15" customHeight="1" x14ac:dyDescent="0.3">
      <c r="A287" s="65" t="s">
        <v>407</v>
      </c>
      <c r="B287" s="69" t="s">
        <v>434</v>
      </c>
      <c r="C287" s="62" t="s">
        <v>15</v>
      </c>
      <c r="D287" s="70">
        <v>6.78</v>
      </c>
      <c r="E287" s="383"/>
      <c r="F287" s="591"/>
    </row>
    <row r="288" spans="1:13" s="83" customFormat="1" ht="15" customHeight="1" thickBot="1" x14ac:dyDescent="0.35">
      <c r="A288" s="68"/>
      <c r="B288" s="132"/>
      <c r="C288" s="142"/>
      <c r="D288" s="221"/>
      <c r="E288" s="222"/>
      <c r="F288" s="143"/>
    </row>
    <row r="289" spans="1:15" s="5" customFormat="1" ht="15" customHeight="1" thickBot="1" x14ac:dyDescent="0.35">
      <c r="A289" s="767" t="s">
        <v>410</v>
      </c>
      <c r="B289" s="768"/>
      <c r="C289" s="768"/>
      <c r="D289" s="768"/>
      <c r="E289" s="768"/>
      <c r="F289" s="586"/>
      <c r="G289" s="8"/>
      <c r="H289" s="8"/>
      <c r="L289" s="8"/>
      <c r="M289" s="8"/>
    </row>
    <row r="290" spans="1:15" s="5" customFormat="1" ht="14.4" thickBot="1" x14ac:dyDescent="0.35">
      <c r="A290" s="703"/>
      <c r="B290" s="720"/>
      <c r="C290" s="67"/>
      <c r="D290" s="721"/>
      <c r="E290" s="722"/>
      <c r="F290" s="723"/>
      <c r="L290" s="10"/>
      <c r="M290" s="10"/>
      <c r="N290" s="10"/>
      <c r="O290" s="10"/>
    </row>
    <row r="291" spans="1:15" s="86" customFormat="1" ht="24.9" customHeight="1" thickTop="1" thickBot="1" x14ac:dyDescent="0.35">
      <c r="A291" s="769" t="s">
        <v>689</v>
      </c>
      <c r="B291" s="770"/>
      <c r="C291" s="770"/>
      <c r="D291" s="770"/>
      <c r="E291" s="771"/>
      <c r="F291" s="772"/>
      <c r="G291" s="85"/>
      <c r="H291" s="85"/>
      <c r="I291" s="85"/>
      <c r="J291" s="85"/>
      <c r="K291" s="85"/>
      <c r="L291" s="85"/>
      <c r="M291" s="85"/>
      <c r="N291" s="85"/>
      <c r="O291" s="85"/>
    </row>
    <row r="292" spans="1:15" ht="15" thickTop="1" x14ac:dyDescent="0.3">
      <c r="A292" s="53"/>
      <c r="B292" s="45"/>
      <c r="C292" s="45"/>
      <c r="D292" s="45"/>
      <c r="E292" s="45"/>
      <c r="F292" s="45"/>
    </row>
    <row r="293" spans="1:15" ht="14.4" x14ac:dyDescent="0.3">
      <c r="A293" s="53"/>
      <c r="B293" s="45"/>
      <c r="C293" s="45"/>
      <c r="D293" s="45"/>
      <c r="E293" s="45"/>
      <c r="F293" s="45"/>
    </row>
    <row r="294" spans="1:15" ht="14.4" x14ac:dyDescent="0.3">
      <c r="A294" s="53"/>
      <c r="B294" s="45"/>
      <c r="C294" s="45"/>
      <c r="D294" s="45"/>
      <c r="E294" s="45"/>
      <c r="F294" s="45"/>
    </row>
    <row r="295" spans="1:15" ht="14.4" x14ac:dyDescent="0.3">
      <c r="A295" s="53"/>
      <c r="B295" s="45"/>
      <c r="C295" s="45"/>
      <c r="D295" s="45"/>
      <c r="E295" s="45"/>
      <c r="F295" s="45"/>
    </row>
    <row r="296" spans="1:15" ht="14.4" x14ac:dyDescent="0.3">
      <c r="A296" s="53"/>
      <c r="B296" s="45"/>
      <c r="C296" s="45"/>
      <c r="D296" s="45"/>
      <c r="E296" s="45"/>
      <c r="F296" s="45"/>
    </row>
    <row r="297" spans="1:15" ht="14.4" x14ac:dyDescent="0.3">
      <c r="A297" s="53"/>
      <c r="B297" s="45"/>
      <c r="C297" s="45"/>
      <c r="D297" s="45"/>
      <c r="E297" s="45"/>
      <c r="F297" s="45"/>
    </row>
    <row r="298" spans="1:15" ht="14.4" x14ac:dyDescent="0.3">
      <c r="A298" s="53"/>
      <c r="B298" s="45"/>
      <c r="C298" s="45"/>
      <c r="D298" s="45"/>
      <c r="E298" s="45"/>
      <c r="F298" s="45"/>
    </row>
    <row r="299" spans="1:15" ht="14.4" x14ac:dyDescent="0.3">
      <c r="A299" s="53"/>
      <c r="B299" s="45"/>
      <c r="C299" s="45"/>
      <c r="D299" s="45"/>
      <c r="E299" s="45"/>
      <c r="F299" s="45"/>
    </row>
    <row r="300" spans="1:15" ht="15" thickBot="1" x14ac:dyDescent="0.35">
      <c r="A300" s="53"/>
      <c r="B300" s="45"/>
      <c r="C300" s="45"/>
      <c r="D300" s="45"/>
      <c r="E300" s="45"/>
      <c r="F300" s="45"/>
    </row>
    <row r="301" spans="1:15" ht="29.25" customHeight="1" x14ac:dyDescent="0.25">
      <c r="A301" s="775" t="s">
        <v>698</v>
      </c>
      <c r="B301" s="776"/>
      <c r="C301" s="776"/>
      <c r="D301" s="776"/>
      <c r="E301" s="776"/>
      <c r="F301" s="777"/>
    </row>
    <row r="302" spans="1:15" ht="15" thickBot="1" x14ac:dyDescent="0.35">
      <c r="A302" s="149"/>
      <c r="B302" s="150"/>
      <c r="C302" s="150"/>
      <c r="D302" s="150"/>
      <c r="E302" s="150"/>
      <c r="F302" s="151"/>
    </row>
    <row r="303" spans="1:15" s="84" customFormat="1" ht="24.9" customHeight="1" thickTop="1" thickBot="1" x14ac:dyDescent="0.35">
      <c r="A303" s="153" t="s">
        <v>38</v>
      </c>
      <c r="B303" s="778" t="s">
        <v>39</v>
      </c>
      <c r="C303" s="778"/>
      <c r="D303" s="778"/>
      <c r="E303" s="778" t="s">
        <v>411</v>
      </c>
      <c r="F303" s="787"/>
    </row>
    <row r="304" spans="1:15" s="16" customFormat="1" ht="16.2" thickTop="1" x14ac:dyDescent="0.3">
      <c r="A304" s="152"/>
      <c r="B304" s="779"/>
      <c r="C304" s="779"/>
      <c r="D304" s="779"/>
      <c r="E304" s="788"/>
      <c r="F304" s="789"/>
    </row>
    <row r="305" spans="1:9" s="3" customFormat="1" ht="15" customHeight="1" x14ac:dyDescent="0.3">
      <c r="A305" s="224" t="s">
        <v>143</v>
      </c>
      <c r="B305" s="773" t="s">
        <v>95</v>
      </c>
      <c r="C305" s="773"/>
      <c r="D305" s="773"/>
      <c r="E305" s="780"/>
      <c r="F305" s="781"/>
      <c r="G305" s="2"/>
      <c r="H305" s="2"/>
      <c r="I305" s="2"/>
    </row>
    <row r="306" spans="1:9" s="3" customFormat="1" ht="15" customHeight="1" x14ac:dyDescent="0.3">
      <c r="A306" s="225" t="s">
        <v>144</v>
      </c>
      <c r="B306" s="774" t="s">
        <v>100</v>
      </c>
      <c r="C306" s="774"/>
      <c r="D306" s="774"/>
      <c r="E306" s="780"/>
      <c r="F306" s="781"/>
      <c r="G306" s="2"/>
      <c r="H306" s="2"/>
      <c r="I306" s="2"/>
    </row>
    <row r="307" spans="1:9" s="3" customFormat="1" ht="15" customHeight="1" x14ac:dyDescent="0.3">
      <c r="A307" s="226" t="s">
        <v>136</v>
      </c>
      <c r="B307" s="792" t="s">
        <v>103</v>
      </c>
      <c r="C307" s="793"/>
      <c r="D307" s="794"/>
      <c r="E307" s="795"/>
      <c r="F307" s="796"/>
      <c r="G307" s="2"/>
      <c r="H307" s="2"/>
      <c r="I307" s="2"/>
    </row>
    <row r="308" spans="1:9" s="3" customFormat="1" ht="15" customHeight="1" x14ac:dyDescent="0.3">
      <c r="A308" s="226" t="s">
        <v>176</v>
      </c>
      <c r="B308" s="792" t="s">
        <v>177</v>
      </c>
      <c r="C308" s="793"/>
      <c r="D308" s="794"/>
      <c r="E308" s="795"/>
      <c r="F308" s="796"/>
      <c r="G308" s="2"/>
      <c r="H308" s="2"/>
      <c r="I308" s="2"/>
    </row>
    <row r="309" spans="1:9" s="3" customFormat="1" ht="15" customHeight="1" x14ac:dyDescent="0.3">
      <c r="A309" s="226" t="s">
        <v>182</v>
      </c>
      <c r="B309" s="792" t="s">
        <v>656</v>
      </c>
      <c r="C309" s="793"/>
      <c r="D309" s="794"/>
      <c r="E309" s="795"/>
      <c r="F309" s="796"/>
      <c r="G309" s="2"/>
      <c r="H309" s="2"/>
      <c r="I309" s="2"/>
    </row>
    <row r="310" spans="1:9" s="3" customFormat="1" ht="15" customHeight="1" x14ac:dyDescent="0.3">
      <c r="A310" s="226" t="s">
        <v>183</v>
      </c>
      <c r="B310" s="792" t="s">
        <v>184</v>
      </c>
      <c r="C310" s="793"/>
      <c r="D310" s="794"/>
      <c r="E310" s="795"/>
      <c r="F310" s="796"/>
      <c r="G310" s="2"/>
      <c r="H310" s="2"/>
      <c r="I310" s="2"/>
    </row>
    <row r="311" spans="1:9" s="3" customFormat="1" ht="15" customHeight="1" x14ac:dyDescent="0.3">
      <c r="A311" s="226" t="s">
        <v>195</v>
      </c>
      <c r="B311" s="792" t="s">
        <v>196</v>
      </c>
      <c r="C311" s="793"/>
      <c r="D311" s="794"/>
      <c r="E311" s="795"/>
      <c r="F311" s="796"/>
      <c r="G311" s="2"/>
      <c r="H311" s="2"/>
      <c r="I311" s="2"/>
    </row>
    <row r="312" spans="1:9" s="3" customFormat="1" ht="15" customHeight="1" x14ac:dyDescent="0.3">
      <c r="A312" s="226" t="s">
        <v>226</v>
      </c>
      <c r="B312" s="792" t="s">
        <v>227</v>
      </c>
      <c r="C312" s="793"/>
      <c r="D312" s="794"/>
      <c r="E312" s="795"/>
      <c r="F312" s="796"/>
      <c r="G312" s="2"/>
      <c r="H312" s="2"/>
      <c r="I312" s="2"/>
    </row>
    <row r="313" spans="1:9" s="3" customFormat="1" ht="15" customHeight="1" x14ac:dyDescent="0.3">
      <c r="A313" s="226" t="s">
        <v>249</v>
      </c>
      <c r="B313" s="792" t="s">
        <v>250</v>
      </c>
      <c r="C313" s="793"/>
      <c r="D313" s="794"/>
      <c r="E313" s="795"/>
      <c r="F313" s="796"/>
      <c r="G313" s="2"/>
      <c r="H313" s="2"/>
      <c r="I313" s="2"/>
    </row>
    <row r="314" spans="1:9" s="3" customFormat="1" ht="15" customHeight="1" x14ac:dyDescent="0.3">
      <c r="A314" s="226" t="s">
        <v>292</v>
      </c>
      <c r="B314" s="792" t="s">
        <v>293</v>
      </c>
      <c r="C314" s="793"/>
      <c r="D314" s="794"/>
      <c r="E314" s="795"/>
      <c r="F314" s="796"/>
      <c r="G314" s="2"/>
      <c r="H314" s="2"/>
      <c r="I314" s="2"/>
    </row>
    <row r="315" spans="1:9" s="3" customFormat="1" ht="15" customHeight="1" x14ac:dyDescent="0.3">
      <c r="A315" s="226" t="s">
        <v>309</v>
      </c>
      <c r="B315" s="792" t="s">
        <v>310</v>
      </c>
      <c r="C315" s="793"/>
      <c r="D315" s="794"/>
      <c r="E315" s="795"/>
      <c r="F315" s="796"/>
      <c r="G315" s="2"/>
      <c r="H315" s="2"/>
      <c r="I315" s="2"/>
    </row>
    <row r="316" spans="1:9" s="3" customFormat="1" ht="15" customHeight="1" x14ac:dyDescent="0.3">
      <c r="A316" s="226" t="s">
        <v>327</v>
      </c>
      <c r="B316" s="792" t="s">
        <v>328</v>
      </c>
      <c r="C316" s="793"/>
      <c r="D316" s="794"/>
      <c r="E316" s="795"/>
      <c r="F316" s="796"/>
      <c r="G316" s="2"/>
      <c r="H316" s="2"/>
      <c r="I316" s="2"/>
    </row>
    <row r="317" spans="1:9" s="3" customFormat="1" ht="15" customHeight="1" x14ac:dyDescent="0.3">
      <c r="A317" s="226" t="s">
        <v>334</v>
      </c>
      <c r="B317" s="792" t="s">
        <v>335</v>
      </c>
      <c r="C317" s="793"/>
      <c r="D317" s="794"/>
      <c r="E317" s="795"/>
      <c r="F317" s="796"/>
      <c r="G317" s="2"/>
      <c r="H317" s="2"/>
      <c r="I317" s="2"/>
    </row>
    <row r="318" spans="1:9" s="3" customFormat="1" ht="15" customHeight="1" x14ac:dyDescent="0.3">
      <c r="A318" s="226" t="s">
        <v>349</v>
      </c>
      <c r="B318" s="792" t="s">
        <v>350</v>
      </c>
      <c r="C318" s="793"/>
      <c r="D318" s="794"/>
      <c r="E318" s="795"/>
      <c r="F318" s="796"/>
      <c r="G318" s="2"/>
      <c r="H318" s="2"/>
      <c r="I318" s="2"/>
    </row>
    <row r="319" spans="1:9" s="3" customFormat="1" ht="15" customHeight="1" x14ac:dyDescent="0.3">
      <c r="A319" s="226" t="s">
        <v>367</v>
      </c>
      <c r="B319" s="792" t="s">
        <v>368</v>
      </c>
      <c r="C319" s="793"/>
      <c r="D319" s="794"/>
      <c r="E319" s="795"/>
      <c r="F319" s="796"/>
      <c r="G319" s="2"/>
      <c r="H319" s="2"/>
      <c r="I319" s="2"/>
    </row>
    <row r="320" spans="1:9" s="3" customFormat="1" ht="15" customHeight="1" x14ac:dyDescent="0.3">
      <c r="A320" s="226" t="s">
        <v>372</v>
      </c>
      <c r="B320" s="792" t="s">
        <v>373</v>
      </c>
      <c r="C320" s="793"/>
      <c r="D320" s="794"/>
      <c r="E320" s="795"/>
      <c r="F320" s="796"/>
      <c r="G320" s="2"/>
      <c r="H320" s="2"/>
      <c r="I320" s="2"/>
    </row>
    <row r="321" spans="1:9" s="3" customFormat="1" ht="15" customHeight="1" x14ac:dyDescent="0.3">
      <c r="A321" s="226" t="s">
        <v>396</v>
      </c>
      <c r="B321" s="792" t="s">
        <v>397</v>
      </c>
      <c r="C321" s="793"/>
      <c r="D321" s="794"/>
      <c r="E321" s="795"/>
      <c r="F321" s="796"/>
      <c r="G321" s="2"/>
      <c r="H321" s="2"/>
      <c r="I321" s="2"/>
    </row>
    <row r="322" spans="1:9" s="3" customFormat="1" ht="15" customHeight="1" x14ac:dyDescent="0.3">
      <c r="A322" s="226" t="s">
        <v>405</v>
      </c>
      <c r="B322" s="792" t="s">
        <v>408</v>
      </c>
      <c r="C322" s="793"/>
      <c r="D322" s="794"/>
      <c r="E322" s="795"/>
      <c r="F322" s="796"/>
      <c r="G322" s="2"/>
      <c r="H322" s="2"/>
      <c r="I322" s="2"/>
    </row>
    <row r="323" spans="1:9" s="16" customFormat="1" ht="16.2" thickBot="1" x14ac:dyDescent="0.35">
      <c r="A323" s="159"/>
      <c r="B323" s="797"/>
      <c r="C323" s="798"/>
      <c r="D323" s="799"/>
      <c r="E323" s="790"/>
      <c r="F323" s="791"/>
    </row>
    <row r="324" spans="1:9" ht="24.9" customHeight="1" thickTop="1" thickBot="1" x14ac:dyDescent="0.3">
      <c r="A324" s="782" t="s">
        <v>689</v>
      </c>
      <c r="B324" s="783"/>
      <c r="C324" s="783"/>
      <c r="D324" s="784"/>
      <c r="E324" s="785"/>
      <c r="F324" s="786"/>
    </row>
    <row r="325" spans="1:9" ht="14.4" thickTop="1" x14ac:dyDescent="0.25"/>
  </sheetData>
  <mergeCells count="69">
    <mergeCell ref="E307:F307"/>
    <mergeCell ref="E322:F322"/>
    <mergeCell ref="B323:D323"/>
    <mergeCell ref="E317:F317"/>
    <mergeCell ref="E318:F318"/>
    <mergeCell ref="E319:F319"/>
    <mergeCell ref="E320:F320"/>
    <mergeCell ref="E321:F321"/>
    <mergeCell ref="B322:D322"/>
    <mergeCell ref="B318:D318"/>
    <mergeCell ref="B319:D319"/>
    <mergeCell ref="B320:D320"/>
    <mergeCell ref="B321:D321"/>
    <mergeCell ref="E314:F314"/>
    <mergeCell ref="E315:F315"/>
    <mergeCell ref="E316:F316"/>
    <mergeCell ref="B317:D317"/>
    <mergeCell ref="E308:F308"/>
    <mergeCell ref="E309:F309"/>
    <mergeCell ref="E310:F310"/>
    <mergeCell ref="E311:F311"/>
    <mergeCell ref="E312:F312"/>
    <mergeCell ref="A324:D324"/>
    <mergeCell ref="E324:F324"/>
    <mergeCell ref="E303:F303"/>
    <mergeCell ref="E304:F304"/>
    <mergeCell ref="E323:F323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E313:F313"/>
    <mergeCell ref="A248:E248"/>
    <mergeCell ref="A280:E280"/>
    <mergeCell ref="A289:E289"/>
    <mergeCell ref="B305:D305"/>
    <mergeCell ref="B306:D306"/>
    <mergeCell ref="A301:F301"/>
    <mergeCell ref="B303:D303"/>
    <mergeCell ref="B304:D304"/>
    <mergeCell ref="E305:F305"/>
    <mergeCell ref="E306:F306"/>
    <mergeCell ref="A126:E126"/>
    <mergeCell ref="A239:E239"/>
    <mergeCell ref="A142:E142"/>
    <mergeCell ref="A89:E89"/>
    <mergeCell ref="A223:E223"/>
    <mergeCell ref="A2:F2"/>
    <mergeCell ref="A3:F3"/>
    <mergeCell ref="A74:E74"/>
    <mergeCell ref="A291:D291"/>
    <mergeCell ref="E291:F291"/>
    <mergeCell ref="A13:E13"/>
    <mergeCell ref="A24:E24"/>
    <mergeCell ref="A47:E47"/>
    <mergeCell ref="A72:E72"/>
    <mergeCell ref="A176:E176"/>
    <mergeCell ref="A188:E188"/>
    <mergeCell ref="A202:E202"/>
    <mergeCell ref="A210:E210"/>
    <mergeCell ref="A82:E82"/>
    <mergeCell ref="A271:E271"/>
    <mergeCell ref="A98:E98"/>
  </mergeCells>
  <printOptions horizontalCentered="1"/>
  <pageMargins left="0.78740157480314965" right="0" top="0.98425196850393704" bottom="0.98425196850393704" header="0.31496062992125984" footer="0.31496062992125984"/>
  <pageSetup paperSize="9" scale="75" orientation="portrait" cellComments="atEnd" r:id="rId1"/>
  <rowBreaks count="5" manualBreakCount="5">
    <brk id="59" max="5" man="1"/>
    <brk id="117" max="16383" man="1"/>
    <brk id="176" max="6" man="1"/>
    <brk id="234" max="5" man="1"/>
    <brk id="292" max="5" man="1"/>
  </rowBreaks>
  <colBreaks count="1" manualBreakCount="1">
    <brk id="6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23"/>
  <sheetViews>
    <sheetView zoomScaleNormal="100" workbookViewId="0">
      <selection activeCell="A3" sqref="A3:F3"/>
    </sheetView>
  </sheetViews>
  <sheetFormatPr baseColWidth="10" defaultRowHeight="14.4" x14ac:dyDescent="0.3"/>
  <cols>
    <col min="1" max="1" width="7.6640625" customWidth="1"/>
    <col min="2" max="2" width="43" customWidth="1"/>
    <col min="3" max="3" width="6.441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766" t="s">
        <v>550</v>
      </c>
      <c r="B2" s="766"/>
      <c r="C2" s="766"/>
      <c r="D2" s="766"/>
      <c r="E2" s="766"/>
      <c r="F2" s="766"/>
    </row>
    <row r="3" spans="1:6" ht="15.6" x14ac:dyDescent="0.3">
      <c r="A3" s="766" t="s">
        <v>539</v>
      </c>
      <c r="B3" s="766"/>
      <c r="C3" s="766"/>
      <c r="D3" s="766"/>
      <c r="E3" s="766"/>
      <c r="F3" s="766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ht="15" customHeight="1" x14ac:dyDescent="0.3">
      <c r="A9" s="42" t="s">
        <v>96</v>
      </c>
      <c r="B9" s="91" t="s">
        <v>88</v>
      </c>
      <c r="C9" s="50"/>
      <c r="D9" s="92"/>
      <c r="E9" s="51"/>
      <c r="F9" s="93"/>
    </row>
    <row r="10" spans="1:6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602"/>
      <c r="F10" s="603"/>
    </row>
    <row r="11" spans="1:6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602"/>
      <c r="F11" s="603"/>
    </row>
    <row r="12" spans="1:6" ht="15" customHeight="1" thickBot="1" x14ac:dyDescent="0.35">
      <c r="A12" s="42"/>
      <c r="B12" s="95"/>
      <c r="C12" s="50"/>
      <c r="D12" s="92"/>
      <c r="E12" s="602"/>
      <c r="F12" s="603"/>
    </row>
    <row r="13" spans="1:6" ht="15" customHeight="1" thickBot="1" x14ac:dyDescent="0.35">
      <c r="A13" s="767" t="s">
        <v>189</v>
      </c>
      <c r="B13" s="768"/>
      <c r="C13" s="768"/>
      <c r="D13" s="768"/>
      <c r="E13" s="768"/>
      <c r="F13" s="586"/>
    </row>
    <row r="14" spans="1:6" ht="15" customHeight="1" x14ac:dyDescent="0.3">
      <c r="A14" s="42"/>
      <c r="B14" s="95"/>
      <c r="C14" s="50"/>
      <c r="D14" s="92"/>
      <c r="E14" s="51"/>
      <c r="F14" s="93"/>
    </row>
    <row r="15" spans="1:6" ht="15" customHeight="1" x14ac:dyDescent="0.3">
      <c r="A15" s="57" t="s">
        <v>144</v>
      </c>
      <c r="B15" s="96" t="s">
        <v>100</v>
      </c>
      <c r="C15" s="50"/>
      <c r="D15" s="164"/>
      <c r="E15" s="51"/>
      <c r="F15" s="93"/>
    </row>
    <row r="16" spans="1:6" ht="15" customHeight="1" x14ac:dyDescent="0.3">
      <c r="A16" s="42"/>
      <c r="B16" s="95"/>
      <c r="C16" s="50"/>
      <c r="D16" s="164"/>
      <c r="E16" s="51"/>
      <c r="F16" s="93"/>
    </row>
    <row r="17" spans="1:6" s="468" customFormat="1" ht="15" customHeight="1" x14ac:dyDescent="0.3">
      <c r="A17" s="42" t="s">
        <v>101</v>
      </c>
      <c r="B17" s="97" t="s">
        <v>540</v>
      </c>
      <c r="C17" s="50"/>
      <c r="D17" s="164"/>
      <c r="E17" s="51"/>
      <c r="F17" s="93"/>
    </row>
    <row r="18" spans="1:6" s="468" customFormat="1" ht="15" customHeight="1" x14ac:dyDescent="0.3">
      <c r="A18" s="481" t="s">
        <v>102</v>
      </c>
      <c r="B18" s="94" t="s">
        <v>541</v>
      </c>
      <c r="C18" s="161" t="s">
        <v>18</v>
      </c>
      <c r="D18" s="164">
        <v>1</v>
      </c>
      <c r="E18" s="602"/>
      <c r="F18" s="603"/>
    </row>
    <row r="19" spans="1:6" s="468" customFormat="1" ht="15" customHeight="1" x14ac:dyDescent="0.3">
      <c r="A19" s="481" t="s">
        <v>543</v>
      </c>
      <c r="B19" s="94" t="s">
        <v>542</v>
      </c>
      <c r="C19" s="161" t="s">
        <v>18</v>
      </c>
      <c r="D19" s="164">
        <v>1</v>
      </c>
      <c r="E19" s="602"/>
      <c r="F19" s="603"/>
    </row>
    <row r="20" spans="1:6" s="468" customFormat="1" ht="15" customHeight="1" x14ac:dyDescent="0.3">
      <c r="A20" s="481" t="s">
        <v>472</v>
      </c>
      <c r="B20" s="94" t="s">
        <v>544</v>
      </c>
      <c r="C20" s="161" t="s">
        <v>412</v>
      </c>
      <c r="D20" s="164">
        <f>15.74*11</f>
        <v>173.14000000000001</v>
      </c>
      <c r="E20" s="602"/>
      <c r="F20" s="603"/>
    </row>
    <row r="21" spans="1:6" s="468" customFormat="1" ht="15" customHeight="1" x14ac:dyDescent="0.3">
      <c r="A21" s="481" t="s">
        <v>545</v>
      </c>
      <c r="B21" s="94" t="s">
        <v>652</v>
      </c>
      <c r="C21" s="161" t="s">
        <v>412</v>
      </c>
      <c r="D21" s="164">
        <v>64.41</v>
      </c>
      <c r="E21" s="602"/>
      <c r="F21" s="603"/>
    </row>
    <row r="22" spans="1:6" ht="15" customHeight="1" x14ac:dyDescent="0.3">
      <c r="A22" s="44" t="s">
        <v>105</v>
      </c>
      <c r="B22" s="97" t="s">
        <v>110</v>
      </c>
      <c r="C22" s="162"/>
      <c r="D22" s="164"/>
      <c r="E22" s="602"/>
      <c r="F22" s="603"/>
    </row>
    <row r="23" spans="1:6" ht="15" customHeight="1" x14ac:dyDescent="0.3">
      <c r="A23" s="43" t="s">
        <v>109</v>
      </c>
      <c r="B23" s="94" t="s">
        <v>106</v>
      </c>
      <c r="C23" s="161" t="s">
        <v>413</v>
      </c>
      <c r="D23" s="164">
        <f>+(6*4+1.1*2+4.06+3.18*2+2.68*2+0.78+3.72+3.18)*0.8</f>
        <v>39.728000000000002</v>
      </c>
      <c r="E23" s="602"/>
      <c r="F23" s="603"/>
    </row>
    <row r="24" spans="1:6" ht="15" customHeight="1" x14ac:dyDescent="0.3">
      <c r="A24" s="44" t="s">
        <v>546</v>
      </c>
      <c r="B24" s="97" t="s">
        <v>111</v>
      </c>
      <c r="C24" s="162"/>
      <c r="D24" s="164"/>
      <c r="E24" s="602"/>
      <c r="F24" s="603"/>
    </row>
    <row r="25" spans="1:6" ht="15" customHeight="1" x14ac:dyDescent="0.3">
      <c r="A25" s="43" t="s">
        <v>547</v>
      </c>
      <c r="B25" s="94" t="s">
        <v>107</v>
      </c>
      <c r="C25" s="161" t="s">
        <v>413</v>
      </c>
      <c r="D25" s="164">
        <f>+D23-49.66*0.3</f>
        <v>24.830000000000005</v>
      </c>
      <c r="E25" s="602"/>
      <c r="F25" s="603"/>
    </row>
    <row r="26" spans="1:6" ht="15" customHeight="1" x14ac:dyDescent="0.3">
      <c r="A26" s="43" t="s">
        <v>548</v>
      </c>
      <c r="B26" s="94" t="s">
        <v>112</v>
      </c>
      <c r="C26" s="161" t="s">
        <v>413</v>
      </c>
      <c r="D26" s="164">
        <f>57.08*0.3</f>
        <v>17.123999999999999</v>
      </c>
      <c r="E26" s="602"/>
      <c r="F26" s="603"/>
    </row>
    <row r="27" spans="1:6" ht="15" customHeight="1" x14ac:dyDescent="0.3">
      <c r="A27" s="43" t="s">
        <v>549</v>
      </c>
      <c r="B27" s="94" t="s">
        <v>108</v>
      </c>
      <c r="C27" s="161" t="s">
        <v>412</v>
      </c>
      <c r="D27" s="164">
        <v>57.08</v>
      </c>
      <c r="E27" s="602"/>
      <c r="F27" s="603"/>
    </row>
    <row r="28" spans="1:6" ht="15" customHeight="1" thickBot="1" x14ac:dyDescent="0.35">
      <c r="A28" s="43"/>
      <c r="B28" s="94"/>
      <c r="C28" s="50"/>
      <c r="D28" s="164"/>
      <c r="E28" s="602"/>
      <c r="F28" s="93"/>
    </row>
    <row r="29" spans="1:6" ht="15" customHeight="1" thickBot="1" x14ac:dyDescent="0.35">
      <c r="A29" s="767" t="s">
        <v>190</v>
      </c>
      <c r="B29" s="768"/>
      <c r="C29" s="768"/>
      <c r="D29" s="768"/>
      <c r="E29" s="768"/>
      <c r="F29" s="586"/>
    </row>
    <row r="30" spans="1:6" ht="15" customHeight="1" x14ac:dyDescent="0.3">
      <c r="A30" s="170"/>
      <c r="B30" s="171"/>
      <c r="C30" s="172"/>
      <c r="D30" s="173"/>
      <c r="E30" s="174"/>
      <c r="F30" s="98"/>
    </row>
    <row r="31" spans="1:6" ht="15" customHeight="1" x14ac:dyDescent="0.3">
      <c r="A31" s="58" t="s">
        <v>136</v>
      </c>
      <c r="B31" s="99" t="s">
        <v>103</v>
      </c>
      <c r="C31" s="4"/>
      <c r="D31" s="24"/>
      <c r="E31" s="174"/>
      <c r="F31" s="98"/>
    </row>
    <row r="32" spans="1:6" ht="15" customHeight="1" x14ac:dyDescent="0.3">
      <c r="A32" s="20"/>
      <c r="B32" s="100"/>
      <c r="C32" s="4"/>
      <c r="D32" s="24"/>
      <c r="E32" s="174"/>
      <c r="F32" s="98"/>
    </row>
    <row r="33" spans="1:6" ht="15" customHeight="1" x14ac:dyDescent="0.3">
      <c r="A33" s="147" t="s">
        <v>4</v>
      </c>
      <c r="B33" s="175" t="s">
        <v>113</v>
      </c>
      <c r="C33" s="176"/>
      <c r="D33" s="177"/>
      <c r="E33" s="178"/>
      <c r="F33" s="101"/>
    </row>
    <row r="34" spans="1:6" ht="15" customHeight="1" x14ac:dyDescent="0.3">
      <c r="A34" s="147" t="s">
        <v>5</v>
      </c>
      <c r="B34" s="179" t="s">
        <v>114</v>
      </c>
      <c r="C34" s="163" t="s">
        <v>137</v>
      </c>
      <c r="D34" s="180">
        <f>49.66*0.05*0.6</f>
        <v>1.4898</v>
      </c>
      <c r="E34" s="181"/>
      <c r="F34" s="106"/>
    </row>
    <row r="35" spans="1:6" ht="15" customHeight="1" x14ac:dyDescent="0.3">
      <c r="A35" s="147" t="s">
        <v>9</v>
      </c>
      <c r="B35" s="179" t="s">
        <v>121</v>
      </c>
      <c r="C35" s="163"/>
      <c r="D35" s="182"/>
      <c r="E35" s="181"/>
      <c r="F35" s="106"/>
    </row>
    <row r="36" spans="1:6" ht="15" customHeight="1" x14ac:dyDescent="0.3">
      <c r="A36" s="148" t="s">
        <v>115</v>
      </c>
      <c r="B36" s="183" t="s">
        <v>138</v>
      </c>
      <c r="C36" s="163" t="s">
        <v>137</v>
      </c>
      <c r="D36" s="180">
        <f>49.66*0.25*0.6</f>
        <v>7.448999999999999</v>
      </c>
      <c r="E36" s="181"/>
      <c r="F36" s="106"/>
    </row>
    <row r="37" spans="1:6" ht="15" customHeight="1" x14ac:dyDescent="0.3">
      <c r="A37" s="148" t="s">
        <v>116</v>
      </c>
      <c r="B37" s="183" t="s">
        <v>657</v>
      </c>
      <c r="C37" s="163" t="s">
        <v>117</v>
      </c>
      <c r="D37" s="180">
        <f>4*49.66*0.394+249*0.76*0.222</f>
        <v>120.27544</v>
      </c>
      <c r="E37" s="181"/>
      <c r="F37" s="106"/>
    </row>
    <row r="38" spans="1:6" ht="15" customHeight="1" x14ac:dyDescent="0.3">
      <c r="A38" s="147" t="s">
        <v>120</v>
      </c>
      <c r="B38" s="179" t="s">
        <v>416</v>
      </c>
      <c r="C38" s="163"/>
      <c r="D38" s="180"/>
      <c r="E38" s="181"/>
      <c r="F38" s="106"/>
    </row>
    <row r="39" spans="1:6" ht="15" customHeight="1" x14ac:dyDescent="0.3">
      <c r="A39" s="148" t="s">
        <v>122</v>
      </c>
      <c r="B39" s="183" t="s">
        <v>138</v>
      </c>
      <c r="C39" s="163" t="s">
        <v>137</v>
      </c>
      <c r="D39" s="180">
        <f>0.8*(12*0.15*0.15+3*0.3*0.15+0.25*0.15+0.3*0.15+0.15*0.15)</f>
        <v>0.40799999999999992</v>
      </c>
      <c r="E39" s="181"/>
      <c r="F39" s="106"/>
    </row>
    <row r="40" spans="1:6" ht="15" customHeight="1" x14ac:dyDescent="0.3">
      <c r="A40" s="148" t="s">
        <v>123</v>
      </c>
      <c r="B40" s="183" t="s">
        <v>657</v>
      </c>
      <c r="C40" s="163" t="s">
        <v>117</v>
      </c>
      <c r="D40" s="184">
        <f>0.8*(12*4*0.616+3*(4*0.616+2*0.394)+4*0.616+2*0.394+6*0.616+2*0.394)</f>
        <v>37.647999999999989</v>
      </c>
      <c r="E40" s="181"/>
      <c r="F40" s="106"/>
    </row>
    <row r="41" spans="1:6" ht="15" customHeight="1" x14ac:dyDescent="0.3">
      <c r="A41" s="148" t="s">
        <v>124</v>
      </c>
      <c r="B41" s="183" t="s">
        <v>118</v>
      </c>
      <c r="C41" s="163" t="s">
        <v>119</v>
      </c>
      <c r="D41" s="180">
        <f>0.8*(23*0.15+3*0.3+2*0.25)*1.1</f>
        <v>4.2679999999999998</v>
      </c>
      <c r="E41" s="181"/>
      <c r="F41" s="106"/>
    </row>
    <row r="42" spans="1:6" ht="15" customHeight="1" x14ac:dyDescent="0.3">
      <c r="A42" s="147" t="s">
        <v>125</v>
      </c>
      <c r="B42" s="179" t="s">
        <v>133</v>
      </c>
      <c r="C42" s="185"/>
      <c r="D42" s="185"/>
      <c r="E42" s="185"/>
      <c r="F42" s="106"/>
    </row>
    <row r="43" spans="1:6" ht="15" customHeight="1" x14ac:dyDescent="0.3">
      <c r="A43" s="148" t="s">
        <v>126</v>
      </c>
      <c r="B43" s="183" t="s">
        <v>139</v>
      </c>
      <c r="C43" s="163" t="s">
        <v>131</v>
      </c>
      <c r="D43" s="180">
        <f>49.66*0.6*1.1</f>
        <v>32.775599999999997</v>
      </c>
      <c r="E43" s="181"/>
      <c r="F43" s="106"/>
    </row>
    <row r="44" spans="1:6" ht="15" customHeight="1" x14ac:dyDescent="0.3">
      <c r="A44" s="147" t="s">
        <v>127</v>
      </c>
      <c r="B44" s="179" t="s">
        <v>140</v>
      </c>
      <c r="C44" s="163"/>
      <c r="D44" s="180"/>
      <c r="E44" s="181"/>
      <c r="F44" s="106"/>
    </row>
    <row r="45" spans="1:6" ht="15" customHeight="1" x14ac:dyDescent="0.3">
      <c r="A45" s="148" t="s">
        <v>128</v>
      </c>
      <c r="B45" s="183" t="s">
        <v>141</v>
      </c>
      <c r="C45" s="163" t="s">
        <v>131</v>
      </c>
      <c r="D45" s="180">
        <v>57.08</v>
      </c>
      <c r="E45" s="181"/>
      <c r="F45" s="106"/>
    </row>
    <row r="46" spans="1:6" ht="15" customHeight="1" x14ac:dyDescent="0.3">
      <c r="A46" s="148" t="s">
        <v>129</v>
      </c>
      <c r="B46" s="183" t="s">
        <v>135</v>
      </c>
      <c r="C46" s="163" t="s">
        <v>131</v>
      </c>
      <c r="D46" s="180">
        <f>+D45</f>
        <v>57.08</v>
      </c>
      <c r="E46" s="181"/>
      <c r="F46" s="106"/>
    </row>
    <row r="47" spans="1:6" ht="15" customHeight="1" x14ac:dyDescent="0.3">
      <c r="A47" s="148" t="s">
        <v>130</v>
      </c>
      <c r="B47" s="183" t="s">
        <v>118</v>
      </c>
      <c r="C47" s="163" t="s">
        <v>131</v>
      </c>
      <c r="D47" s="180">
        <f>49.66*0.2</f>
        <v>9.9320000000000004</v>
      </c>
      <c r="E47" s="181"/>
      <c r="F47" s="106"/>
    </row>
    <row r="48" spans="1:6" ht="15" customHeight="1" x14ac:dyDescent="0.3">
      <c r="A48" s="147" t="s">
        <v>132</v>
      </c>
      <c r="B48" s="179" t="s">
        <v>179</v>
      </c>
      <c r="C48" s="163"/>
      <c r="D48" s="180"/>
      <c r="E48" s="181"/>
      <c r="F48" s="106"/>
    </row>
    <row r="49" spans="1:6" ht="15" customHeight="1" x14ac:dyDescent="0.3">
      <c r="A49" s="148" t="s">
        <v>134</v>
      </c>
      <c r="B49" s="183" t="s">
        <v>180</v>
      </c>
      <c r="C49" s="163" t="s">
        <v>131</v>
      </c>
      <c r="D49" s="180">
        <f>57.08-(2.5+2.5)</f>
        <v>52.08</v>
      </c>
      <c r="E49" s="181"/>
      <c r="F49" s="106"/>
    </row>
    <row r="50" spans="1:6" ht="15" customHeight="1" x14ac:dyDescent="0.3">
      <c r="A50" s="148" t="s">
        <v>660</v>
      </c>
      <c r="B50" s="183" t="s">
        <v>662</v>
      </c>
      <c r="C50" s="163" t="s">
        <v>131</v>
      </c>
      <c r="D50" s="180">
        <f>2.5*2</f>
        <v>5</v>
      </c>
      <c r="E50" s="181"/>
      <c r="F50" s="106"/>
    </row>
    <row r="51" spans="1:6" ht="15" customHeight="1" thickBot="1" x14ac:dyDescent="0.35">
      <c r="A51" s="188"/>
      <c r="B51" s="103"/>
      <c r="C51" s="189"/>
      <c r="D51" s="190"/>
      <c r="E51" s="181"/>
      <c r="F51" s="102"/>
    </row>
    <row r="52" spans="1:6" ht="15" customHeight="1" thickBot="1" x14ac:dyDescent="0.35">
      <c r="A52" s="767" t="s">
        <v>146</v>
      </c>
      <c r="B52" s="768"/>
      <c r="C52" s="768"/>
      <c r="D52" s="768"/>
      <c r="E52" s="768"/>
      <c r="F52" s="609"/>
    </row>
    <row r="53" spans="1:6" ht="15" customHeight="1" x14ac:dyDescent="0.3">
      <c r="A53" s="20"/>
      <c r="B53" s="100"/>
      <c r="C53" s="4"/>
      <c r="D53" s="24"/>
      <c r="E53" s="174"/>
      <c r="F53" s="98"/>
    </row>
    <row r="54" spans="1:6" ht="15" customHeight="1" x14ac:dyDescent="0.3">
      <c r="A54" s="147" t="s">
        <v>10</v>
      </c>
      <c r="B54" s="175" t="s">
        <v>167</v>
      </c>
      <c r="C54" s="176"/>
      <c r="D54" s="191"/>
      <c r="E54" s="192"/>
      <c r="F54" s="104"/>
    </row>
    <row r="55" spans="1:6" ht="15" customHeight="1" x14ac:dyDescent="0.3">
      <c r="A55" s="147" t="s">
        <v>11</v>
      </c>
      <c r="B55" s="179" t="s">
        <v>168</v>
      </c>
      <c r="C55" s="176"/>
      <c r="D55" s="191"/>
      <c r="E55" s="192"/>
      <c r="F55" s="104"/>
    </row>
    <row r="56" spans="1:6" ht="15" customHeight="1" x14ac:dyDescent="0.3">
      <c r="A56" s="148" t="s">
        <v>147</v>
      </c>
      <c r="B56" s="183" t="s">
        <v>138</v>
      </c>
      <c r="C56" s="163" t="s">
        <v>137</v>
      </c>
      <c r="D56" s="182">
        <f>3*0.3*0.15*3+3*(0.15*0.15+0.15*0.1)*3.38+(0.25*0.15+3*0.15*0.15)*4.11+(3*0.15*0.15+0.3*0.15)*3.9+3*(4*0.15*0.15+2*0.15*0.1)+(3.74+4.11+3.6+3.32+3.61+3.9+3.52*2)*0.15*0.1</f>
        <v>2.4553499999999997</v>
      </c>
      <c r="E56" s="187"/>
      <c r="F56" s="105"/>
    </row>
    <row r="57" spans="1:6" ht="15" customHeight="1" x14ac:dyDescent="0.3">
      <c r="A57" s="148" t="s">
        <v>148</v>
      </c>
      <c r="B57" s="183" t="s">
        <v>658</v>
      </c>
      <c r="C57" s="163" t="s">
        <v>84</v>
      </c>
      <c r="D57" s="193">
        <v>248.49</v>
      </c>
      <c r="E57" s="187"/>
      <c r="F57" s="105"/>
    </row>
    <row r="58" spans="1:6" ht="15" customHeight="1" x14ac:dyDescent="0.3">
      <c r="A58" s="148" t="s">
        <v>149</v>
      </c>
      <c r="B58" s="183" t="s">
        <v>118</v>
      </c>
      <c r="C58" s="163" t="s">
        <v>131</v>
      </c>
      <c r="D58" s="182">
        <v>25.62</v>
      </c>
      <c r="E58" s="187"/>
      <c r="F58" s="105"/>
    </row>
    <row r="59" spans="1:6" ht="15" customHeight="1" x14ac:dyDescent="0.3">
      <c r="A59" s="147" t="s">
        <v>12</v>
      </c>
      <c r="B59" s="179" t="s">
        <v>169</v>
      </c>
      <c r="C59" s="163"/>
      <c r="D59" s="182"/>
      <c r="E59" s="187"/>
      <c r="F59" s="105"/>
    </row>
    <row r="60" spans="1:6" ht="15" customHeight="1" x14ac:dyDescent="0.3">
      <c r="A60" s="148" t="s">
        <v>150</v>
      </c>
      <c r="B60" s="183" t="s">
        <v>138</v>
      </c>
      <c r="C60" s="163" t="s">
        <v>137</v>
      </c>
      <c r="D60" s="182">
        <f>49.66*0.2*0.15+5.36*0.2*0.1</f>
        <v>1.597</v>
      </c>
      <c r="E60" s="187"/>
      <c r="F60" s="105"/>
    </row>
    <row r="61" spans="1:6" ht="15" customHeight="1" x14ac:dyDescent="0.3">
      <c r="A61" s="148" t="s">
        <v>151</v>
      </c>
      <c r="B61" s="183" t="s">
        <v>658</v>
      </c>
      <c r="C61" s="163" t="s">
        <v>84</v>
      </c>
      <c r="D61" s="193">
        <v>115.51</v>
      </c>
      <c r="E61" s="187"/>
      <c r="F61" s="105"/>
    </row>
    <row r="62" spans="1:6" ht="15" customHeight="1" x14ac:dyDescent="0.3">
      <c r="A62" s="148" t="s">
        <v>152</v>
      </c>
      <c r="B62" s="183" t="s">
        <v>118</v>
      </c>
      <c r="C62" s="163" t="s">
        <v>131</v>
      </c>
      <c r="D62" s="182">
        <f>+(49.66+5.36)*2*0.2*1.1</f>
        <v>24.2088</v>
      </c>
      <c r="E62" s="187"/>
      <c r="F62" s="105"/>
    </row>
    <row r="63" spans="1:6" ht="15" customHeight="1" x14ac:dyDescent="0.3">
      <c r="A63" s="147" t="s">
        <v>13</v>
      </c>
      <c r="B63" s="179" t="s">
        <v>663</v>
      </c>
      <c r="C63" s="163"/>
      <c r="D63" s="182"/>
      <c r="E63" s="187"/>
      <c r="F63" s="105"/>
    </row>
    <row r="64" spans="1:6" ht="15" customHeight="1" x14ac:dyDescent="0.3">
      <c r="A64" s="148" t="s">
        <v>153</v>
      </c>
      <c r="B64" s="194" t="s">
        <v>138</v>
      </c>
      <c r="C64" s="163" t="s">
        <v>137</v>
      </c>
      <c r="D64" s="182">
        <f>1.68*0.4</f>
        <v>0.67200000000000004</v>
      </c>
      <c r="E64" s="187"/>
      <c r="F64" s="105"/>
    </row>
    <row r="65" spans="1:6" ht="15" customHeight="1" x14ac:dyDescent="0.3">
      <c r="A65" s="148" t="s">
        <v>154</v>
      </c>
      <c r="B65" s="194" t="s">
        <v>658</v>
      </c>
      <c r="C65" s="163" t="s">
        <v>84</v>
      </c>
      <c r="D65" s="193">
        <f>+D64*60</f>
        <v>40.32</v>
      </c>
      <c r="E65" s="187"/>
      <c r="F65" s="105"/>
    </row>
    <row r="66" spans="1:6" ht="15" customHeight="1" x14ac:dyDescent="0.3">
      <c r="A66" s="148" t="s">
        <v>155</v>
      </c>
      <c r="B66" s="194" t="s">
        <v>118</v>
      </c>
      <c r="C66" s="163" t="s">
        <v>131</v>
      </c>
      <c r="D66" s="182">
        <f>0.15*0.35*2+1.68*0.15</f>
        <v>0.35699999999999998</v>
      </c>
      <c r="E66" s="187"/>
      <c r="F66" s="105"/>
    </row>
    <row r="67" spans="1:6" ht="15" customHeight="1" x14ac:dyDescent="0.3">
      <c r="A67" s="147" t="s">
        <v>156</v>
      </c>
      <c r="B67" s="179" t="s">
        <v>667</v>
      </c>
      <c r="C67" s="163"/>
      <c r="D67" s="182"/>
      <c r="E67" s="187"/>
      <c r="F67" s="105"/>
    </row>
    <row r="68" spans="1:6" ht="15" customHeight="1" x14ac:dyDescent="0.3">
      <c r="A68" s="148" t="s">
        <v>157</v>
      </c>
      <c r="B68" s="183" t="s">
        <v>165</v>
      </c>
      <c r="C68" s="163" t="s">
        <v>131</v>
      </c>
      <c r="D68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8" s="195"/>
      <c r="F68" s="105"/>
    </row>
    <row r="69" spans="1:6" ht="15" customHeight="1" x14ac:dyDescent="0.3">
      <c r="A69" s="148" t="s">
        <v>158</v>
      </c>
      <c r="B69" s="183" t="s">
        <v>166</v>
      </c>
      <c r="C69" s="163" t="s">
        <v>131</v>
      </c>
      <c r="D69" s="180">
        <f>+(2.13+0.73+2.4)*3-(2*0.7*2.2)</f>
        <v>12.7</v>
      </c>
      <c r="E69" s="181"/>
      <c r="F69" s="105"/>
    </row>
    <row r="70" spans="1:6" ht="15" customHeight="1" x14ac:dyDescent="0.3">
      <c r="A70" s="147" t="s">
        <v>159</v>
      </c>
      <c r="B70" s="179" t="s">
        <v>173</v>
      </c>
      <c r="C70" s="163"/>
      <c r="D70" s="180"/>
      <c r="E70" s="181"/>
      <c r="F70" s="105"/>
    </row>
    <row r="71" spans="1:6" ht="15" customHeight="1" x14ac:dyDescent="0.3">
      <c r="A71" s="148" t="s">
        <v>160</v>
      </c>
      <c r="B71" s="183" t="s">
        <v>673</v>
      </c>
      <c r="C71" s="163" t="s">
        <v>131</v>
      </c>
      <c r="D71" s="180">
        <f>+((36.87-(2*1.44+0.95+3.31))+(17.19-0.36)+(36.87-(2*1.44+3.31+0.36))+2*(17.19-2*6.8))+17.19-(0.9*2.2+1.44)</f>
        <v>97.83</v>
      </c>
      <c r="E71" s="181"/>
      <c r="F71" s="105"/>
    </row>
    <row r="72" spans="1:6" ht="15" customHeight="1" x14ac:dyDescent="0.3">
      <c r="A72" s="148" t="s">
        <v>161</v>
      </c>
      <c r="B72" s="183" t="s">
        <v>174</v>
      </c>
      <c r="C72" s="163" t="s">
        <v>131</v>
      </c>
      <c r="D72" s="180">
        <f>97.83-2*(17.19-(2*6.8))+2*((13.03-1.98)+(3.72*4.15)+(20.31-1.98))</f>
        <v>180.286</v>
      </c>
      <c r="E72" s="181"/>
      <c r="F72" s="105"/>
    </row>
    <row r="73" spans="1:6" ht="24.9" customHeight="1" x14ac:dyDescent="0.3">
      <c r="A73" s="148" t="s">
        <v>170</v>
      </c>
      <c r="B73" s="183" t="s">
        <v>703</v>
      </c>
      <c r="C73" s="163" t="s">
        <v>131</v>
      </c>
      <c r="D73" s="180">
        <f>2*(6.4*3-1.76)</f>
        <v>34.880000000000003</v>
      </c>
      <c r="E73" s="181"/>
      <c r="F73" s="105"/>
    </row>
    <row r="74" spans="1:6" ht="15" customHeight="1" x14ac:dyDescent="0.3">
      <c r="A74" s="147" t="s">
        <v>162</v>
      </c>
      <c r="B74" s="179" t="s">
        <v>171</v>
      </c>
      <c r="C74" s="163"/>
      <c r="D74" s="180"/>
      <c r="E74" s="181"/>
      <c r="F74" s="105"/>
    </row>
    <row r="75" spans="1:6" ht="15" customHeight="1" x14ac:dyDescent="0.3">
      <c r="A75" s="148" t="s">
        <v>163</v>
      </c>
      <c r="B75" s="183" t="s">
        <v>172</v>
      </c>
      <c r="C75" s="163" t="s">
        <v>131</v>
      </c>
      <c r="D75" s="180">
        <v>1.2</v>
      </c>
      <c r="E75" s="181"/>
      <c r="F75" s="105"/>
    </row>
    <row r="76" spans="1:6" ht="15" customHeight="1" thickBot="1" x14ac:dyDescent="0.35">
      <c r="A76" s="196"/>
      <c r="B76" s="197"/>
      <c r="C76" s="198"/>
      <c r="D76" s="199"/>
      <c r="E76" s="200"/>
      <c r="F76" s="107"/>
    </row>
    <row r="77" spans="1:6" ht="15" customHeight="1" thickBot="1" x14ac:dyDescent="0.35">
      <c r="A77" s="767" t="s">
        <v>175</v>
      </c>
      <c r="B77" s="768"/>
      <c r="C77" s="768"/>
      <c r="D77" s="768"/>
      <c r="E77" s="768"/>
      <c r="F77" s="609"/>
    </row>
    <row r="78" spans="1:6" ht="15" customHeight="1" thickBot="1" x14ac:dyDescent="0.35">
      <c r="A78" s="34"/>
      <c r="B78" s="201"/>
      <c r="C78" s="202"/>
      <c r="D78" s="203"/>
      <c r="E78" s="204"/>
      <c r="F78" s="108"/>
    </row>
    <row r="79" spans="1:6" ht="15" customHeight="1" thickBot="1" x14ac:dyDescent="0.35">
      <c r="A79" s="767" t="s">
        <v>191</v>
      </c>
      <c r="B79" s="768"/>
      <c r="C79" s="768"/>
      <c r="D79" s="768"/>
      <c r="E79" s="768"/>
      <c r="F79" s="586"/>
    </row>
    <row r="80" spans="1:6" ht="15" customHeight="1" x14ac:dyDescent="0.3">
      <c r="A80" s="28"/>
      <c r="B80" s="109"/>
      <c r="C80" s="29"/>
      <c r="D80" s="205"/>
      <c r="E80" s="33"/>
      <c r="F80" s="110"/>
    </row>
    <row r="81" spans="1:6" ht="15" customHeight="1" x14ac:dyDescent="0.3">
      <c r="A81" s="58" t="s">
        <v>176</v>
      </c>
      <c r="B81" s="99" t="s">
        <v>177</v>
      </c>
      <c r="C81" s="4"/>
      <c r="D81" s="24"/>
      <c r="E81" s="174"/>
      <c r="F81" s="98"/>
    </row>
    <row r="82" spans="1:6" ht="15" customHeight="1" x14ac:dyDescent="0.3">
      <c r="A82" s="54"/>
      <c r="B82" s="167"/>
      <c r="C82" s="4"/>
      <c r="D82" s="24"/>
      <c r="E82" s="174"/>
      <c r="F82" s="98"/>
    </row>
    <row r="83" spans="1:6" ht="15" customHeight="1" x14ac:dyDescent="0.3">
      <c r="A83" s="54" t="s">
        <v>53</v>
      </c>
      <c r="B83" s="111" t="s">
        <v>732</v>
      </c>
      <c r="C83" s="60"/>
      <c r="D83" s="131"/>
      <c r="E83" s="80"/>
      <c r="F83" s="112"/>
    </row>
    <row r="84" spans="1:6" ht="24.9" customHeight="1" x14ac:dyDescent="0.3">
      <c r="A84" s="61" t="s">
        <v>82</v>
      </c>
      <c r="B84" s="69" t="s">
        <v>181</v>
      </c>
      <c r="C84" s="163" t="s">
        <v>131</v>
      </c>
      <c r="D84" s="70">
        <f>2*2.4</f>
        <v>4.8</v>
      </c>
      <c r="E84" s="393"/>
      <c r="F84" s="591"/>
    </row>
    <row r="85" spans="1:6" ht="15" customHeight="1" x14ac:dyDescent="0.3">
      <c r="A85" s="61" t="s">
        <v>178</v>
      </c>
      <c r="B85" s="113" t="s">
        <v>717</v>
      </c>
      <c r="C85" s="60" t="s">
        <v>15</v>
      </c>
      <c r="D85" s="131">
        <f>2*(6.4-0.8)</f>
        <v>11.200000000000001</v>
      </c>
      <c r="E85" s="393"/>
      <c r="F85" s="591"/>
    </row>
    <row r="86" spans="1:6" ht="15" customHeight="1" thickBot="1" x14ac:dyDescent="0.35">
      <c r="A86" s="76"/>
      <c r="B86" s="114"/>
      <c r="C86" s="63"/>
      <c r="D86" s="206"/>
      <c r="E86" s="207"/>
      <c r="F86" s="115"/>
    </row>
    <row r="87" spans="1:6" ht="15" customHeight="1" thickBot="1" x14ac:dyDescent="0.35">
      <c r="A87" s="767" t="s">
        <v>192</v>
      </c>
      <c r="B87" s="768"/>
      <c r="C87" s="768"/>
      <c r="D87" s="768"/>
      <c r="E87" s="768"/>
      <c r="F87" s="586"/>
    </row>
    <row r="88" spans="1:6" ht="15" customHeight="1" x14ac:dyDescent="0.3">
      <c r="A88" s="116"/>
      <c r="B88" s="117"/>
      <c r="C88" s="117"/>
      <c r="D88" s="117"/>
      <c r="E88" s="117"/>
      <c r="F88" s="118"/>
    </row>
    <row r="89" spans="1:6" ht="15" customHeight="1" x14ac:dyDescent="0.3">
      <c r="A89" s="58" t="s">
        <v>182</v>
      </c>
      <c r="B89" s="99" t="s">
        <v>656</v>
      </c>
      <c r="C89" s="4"/>
      <c r="D89" s="24"/>
      <c r="E89" s="174"/>
      <c r="F89" s="98"/>
    </row>
    <row r="90" spans="1:6" ht="15" customHeight="1" x14ac:dyDescent="0.3">
      <c r="A90" s="54"/>
      <c r="B90" s="167"/>
      <c r="C90" s="4"/>
      <c r="D90" s="24"/>
      <c r="E90" s="174"/>
      <c r="F90" s="98"/>
    </row>
    <row r="91" spans="1:6" ht="15" customHeight="1" x14ac:dyDescent="0.3">
      <c r="A91" s="64" t="s">
        <v>186</v>
      </c>
      <c r="B91" s="111" t="s">
        <v>188</v>
      </c>
      <c r="C91" s="60"/>
      <c r="D91" s="131"/>
      <c r="E91" s="80"/>
      <c r="F91" s="119"/>
    </row>
    <row r="92" spans="1:6" ht="15" customHeight="1" x14ac:dyDescent="0.3">
      <c r="A92" s="65" t="s">
        <v>187</v>
      </c>
      <c r="B92" s="69" t="s">
        <v>675</v>
      </c>
      <c r="C92" s="60" t="s">
        <v>15</v>
      </c>
      <c r="D92" s="131">
        <f>14*1*5+14*0.8+0.6*2*4</f>
        <v>86</v>
      </c>
      <c r="E92" s="393"/>
      <c r="F92" s="591"/>
    </row>
    <row r="93" spans="1:6" ht="15" customHeight="1" thickBot="1" x14ac:dyDescent="0.35">
      <c r="A93" s="23"/>
      <c r="B93" s="120"/>
      <c r="C93" s="25"/>
      <c r="D93" s="208"/>
      <c r="E93" s="27"/>
      <c r="F93" s="35"/>
    </row>
    <row r="94" spans="1:6" ht="15" customHeight="1" thickBot="1" x14ac:dyDescent="0.35">
      <c r="A94" s="767" t="s">
        <v>194</v>
      </c>
      <c r="B94" s="768"/>
      <c r="C94" s="768"/>
      <c r="D94" s="768"/>
      <c r="E94" s="768"/>
      <c r="F94" s="651"/>
    </row>
    <row r="95" spans="1:6" ht="15" customHeight="1" x14ac:dyDescent="0.3">
      <c r="A95" s="32"/>
      <c r="B95" s="26"/>
      <c r="C95" s="26"/>
      <c r="D95" s="26"/>
      <c r="E95" s="26"/>
      <c r="F95" s="98"/>
    </row>
    <row r="96" spans="1:6" ht="15" customHeight="1" x14ac:dyDescent="0.3">
      <c r="A96" s="58" t="s">
        <v>183</v>
      </c>
      <c r="B96" s="99" t="s">
        <v>184</v>
      </c>
      <c r="C96" s="4"/>
      <c r="D96" s="24"/>
      <c r="E96" s="174"/>
      <c r="F96" s="98"/>
    </row>
    <row r="97" spans="1:6" ht="15" customHeight="1" x14ac:dyDescent="0.3">
      <c r="A97" s="54"/>
      <c r="B97" s="167"/>
      <c r="C97" s="4"/>
      <c r="D97" s="24"/>
      <c r="E97" s="174"/>
      <c r="F97" s="98"/>
    </row>
    <row r="98" spans="1:6" ht="15" customHeight="1" x14ac:dyDescent="0.3">
      <c r="A98" s="64" t="s">
        <v>16</v>
      </c>
      <c r="B98" s="111" t="s">
        <v>185</v>
      </c>
      <c r="C98" s="60"/>
      <c r="D98" s="131"/>
      <c r="E98" s="80"/>
      <c r="F98" s="112"/>
    </row>
    <row r="99" spans="1:6" s="18" customFormat="1" ht="15" customHeight="1" x14ac:dyDescent="0.3">
      <c r="A99" s="66" t="s">
        <v>17</v>
      </c>
      <c r="B99" s="69" t="s">
        <v>419</v>
      </c>
      <c r="C99" s="482" t="s">
        <v>131</v>
      </c>
      <c r="D99" s="70">
        <f>5*1.4*1.4</f>
        <v>9.7999999999999989</v>
      </c>
      <c r="E99" s="383"/>
      <c r="F99" s="591"/>
    </row>
    <row r="100" spans="1:6" ht="15" customHeight="1" x14ac:dyDescent="0.3">
      <c r="A100" s="65" t="s">
        <v>19</v>
      </c>
      <c r="B100" s="69" t="s">
        <v>420</v>
      </c>
      <c r="C100" s="163" t="s">
        <v>131</v>
      </c>
      <c r="D100" s="131">
        <f>1.2*1.4</f>
        <v>1.68</v>
      </c>
      <c r="E100" s="393"/>
      <c r="F100" s="591"/>
    </row>
    <row r="101" spans="1:6" ht="15" customHeight="1" x14ac:dyDescent="0.3">
      <c r="A101" s="65" t="s">
        <v>365</v>
      </c>
      <c r="B101" s="69" t="s">
        <v>421</v>
      </c>
      <c r="C101" s="163" t="s">
        <v>131</v>
      </c>
      <c r="D101" s="131">
        <f>0.8*0.8*2</f>
        <v>1.2800000000000002</v>
      </c>
      <c r="E101" s="393"/>
      <c r="F101" s="591"/>
    </row>
    <row r="102" spans="1:6" ht="15" customHeight="1" thickBot="1" x14ac:dyDescent="0.35">
      <c r="A102" s="77"/>
      <c r="B102" s="114"/>
      <c r="C102" s="63"/>
      <c r="D102" s="206"/>
      <c r="E102" s="207"/>
      <c r="F102" s="121"/>
    </row>
    <row r="103" spans="1:6" ht="15" customHeight="1" thickBot="1" x14ac:dyDescent="0.35">
      <c r="A103" s="767" t="s">
        <v>193</v>
      </c>
      <c r="B103" s="768"/>
      <c r="C103" s="768"/>
      <c r="D103" s="768"/>
      <c r="E103" s="768"/>
      <c r="F103" s="586"/>
    </row>
    <row r="104" spans="1:6" ht="15" customHeight="1" x14ac:dyDescent="0.3">
      <c r="A104" s="31"/>
      <c r="B104" s="72"/>
      <c r="C104" s="73"/>
      <c r="D104" s="209"/>
      <c r="E104" s="210"/>
      <c r="F104" s="108"/>
    </row>
    <row r="105" spans="1:6" ht="15" customHeight="1" x14ac:dyDescent="0.3">
      <c r="A105" s="58" t="s">
        <v>195</v>
      </c>
      <c r="B105" s="99" t="s">
        <v>196</v>
      </c>
      <c r="C105" s="4"/>
      <c r="D105" s="24"/>
      <c r="E105" s="174"/>
      <c r="F105" s="98"/>
    </row>
    <row r="106" spans="1:6" ht="15" customHeight="1" x14ac:dyDescent="0.3">
      <c r="A106" s="20"/>
      <c r="B106" s="122"/>
      <c r="C106" s="4"/>
      <c r="D106" s="24"/>
      <c r="E106" s="9"/>
      <c r="F106" s="7"/>
    </row>
    <row r="107" spans="1:6" ht="15" customHeight="1" x14ac:dyDescent="0.3">
      <c r="A107" s="64" t="s">
        <v>20</v>
      </c>
      <c r="B107" s="123" t="s">
        <v>76</v>
      </c>
      <c r="C107" s="60"/>
      <c r="D107" s="131"/>
      <c r="E107" s="80"/>
      <c r="F107" s="119"/>
    </row>
    <row r="108" spans="1:6" ht="15" customHeight="1" x14ac:dyDescent="0.3">
      <c r="A108" s="64" t="s">
        <v>21</v>
      </c>
      <c r="B108" s="124" t="s">
        <v>199</v>
      </c>
      <c r="C108" s="60"/>
      <c r="D108" s="131"/>
      <c r="E108" s="80"/>
      <c r="F108" s="119"/>
    </row>
    <row r="109" spans="1:6" ht="15" customHeight="1" x14ac:dyDescent="0.3">
      <c r="A109" s="65" t="s">
        <v>201</v>
      </c>
      <c r="B109" s="125" t="s">
        <v>197</v>
      </c>
      <c r="C109" s="60" t="s">
        <v>15</v>
      </c>
      <c r="D109" s="131">
        <f>7*1.2</f>
        <v>8.4</v>
      </c>
      <c r="E109" s="393"/>
      <c r="F109" s="591"/>
    </row>
    <row r="110" spans="1:6" s="18" customFormat="1" ht="24.9" customHeight="1" x14ac:dyDescent="0.3">
      <c r="A110" s="66" t="s">
        <v>202</v>
      </c>
      <c r="B110" s="69" t="s">
        <v>240</v>
      </c>
      <c r="C110" s="62" t="s">
        <v>15</v>
      </c>
      <c r="D110" s="70">
        <f>+D109</f>
        <v>8.4</v>
      </c>
      <c r="E110" s="383"/>
      <c r="F110" s="591"/>
    </row>
    <row r="111" spans="1:6" ht="15" customHeight="1" x14ac:dyDescent="0.3">
      <c r="A111" s="64" t="s">
        <v>203</v>
      </c>
      <c r="B111" s="124" t="s">
        <v>200</v>
      </c>
      <c r="C111" s="60"/>
      <c r="D111" s="131"/>
      <c r="E111" s="393"/>
      <c r="F111" s="591"/>
    </row>
    <row r="112" spans="1:6" ht="24.9" customHeight="1" x14ac:dyDescent="0.3">
      <c r="A112" s="66" t="s">
        <v>204</v>
      </c>
      <c r="B112" s="69" t="s">
        <v>238</v>
      </c>
      <c r="C112" s="62" t="s">
        <v>15</v>
      </c>
      <c r="D112" s="70">
        <f>+(0.33+1.84+0.8*2+1.5+0.41)*1.1</f>
        <v>6.2480000000000002</v>
      </c>
      <c r="E112" s="383"/>
      <c r="F112" s="591"/>
    </row>
    <row r="113" spans="1:6" ht="15" customHeight="1" x14ac:dyDescent="0.3">
      <c r="A113" s="64" t="s">
        <v>22</v>
      </c>
      <c r="B113" s="123" t="s">
        <v>198</v>
      </c>
      <c r="C113" s="60"/>
      <c r="D113" s="131"/>
      <c r="E113" s="393"/>
      <c r="F113" s="591"/>
    </row>
    <row r="114" spans="1:6" ht="15" customHeight="1" x14ac:dyDescent="0.3">
      <c r="A114" s="64" t="s">
        <v>77</v>
      </c>
      <c r="B114" s="124" t="s">
        <v>205</v>
      </c>
      <c r="C114" s="60"/>
      <c r="D114" s="131"/>
      <c r="E114" s="393"/>
      <c r="F114" s="591"/>
    </row>
    <row r="115" spans="1:6" ht="15" customHeight="1" x14ac:dyDescent="0.3">
      <c r="A115" s="65" t="s">
        <v>208</v>
      </c>
      <c r="B115" s="125" t="s">
        <v>206</v>
      </c>
      <c r="C115" s="60" t="s">
        <v>15</v>
      </c>
      <c r="D115" s="131">
        <f>(2*0.8+2.3+1.05)*1.2</f>
        <v>5.94</v>
      </c>
      <c r="E115" s="393"/>
      <c r="F115" s="591"/>
    </row>
    <row r="116" spans="1:6" ht="15" customHeight="1" x14ac:dyDescent="0.3">
      <c r="A116" s="65" t="s">
        <v>209</v>
      </c>
      <c r="B116" s="113" t="s">
        <v>207</v>
      </c>
      <c r="C116" s="60" t="s">
        <v>15</v>
      </c>
      <c r="D116" s="131">
        <f>(1.45+0.9)*1.2</f>
        <v>2.82</v>
      </c>
      <c r="E116" s="393"/>
      <c r="F116" s="591"/>
    </row>
    <row r="117" spans="1:6" s="613" customFormat="1" ht="15" customHeight="1" x14ac:dyDescent="0.3">
      <c r="A117" s="65" t="s">
        <v>728</v>
      </c>
      <c r="B117" s="113" t="s">
        <v>729</v>
      </c>
      <c r="C117" s="60" t="s">
        <v>15</v>
      </c>
      <c r="D117" s="131">
        <v>2</v>
      </c>
      <c r="E117" s="393"/>
      <c r="F117" s="591"/>
    </row>
    <row r="118" spans="1:6" ht="15" customHeight="1" x14ac:dyDescent="0.3">
      <c r="A118" s="64" t="s">
        <v>23</v>
      </c>
      <c r="B118" s="111" t="s">
        <v>210</v>
      </c>
      <c r="C118" s="60"/>
      <c r="D118" s="131"/>
      <c r="E118" s="393"/>
      <c r="F118" s="591"/>
    </row>
    <row r="119" spans="1:6" ht="15" customHeight="1" x14ac:dyDescent="0.3">
      <c r="A119" s="64" t="s">
        <v>78</v>
      </c>
      <c r="B119" s="127" t="s">
        <v>211</v>
      </c>
      <c r="C119" s="60"/>
      <c r="D119" s="131"/>
      <c r="E119" s="393"/>
      <c r="F119" s="591"/>
    </row>
    <row r="120" spans="1:6" ht="15" customHeight="1" x14ac:dyDescent="0.3">
      <c r="A120" s="65" t="s">
        <v>215</v>
      </c>
      <c r="B120" s="113" t="s">
        <v>239</v>
      </c>
      <c r="C120" s="60" t="s">
        <v>18</v>
      </c>
      <c r="D120" s="131">
        <v>2</v>
      </c>
      <c r="E120" s="393"/>
      <c r="F120" s="591"/>
    </row>
    <row r="121" spans="1:6" ht="15" customHeight="1" x14ac:dyDescent="0.3">
      <c r="A121" s="64" t="s">
        <v>216</v>
      </c>
      <c r="B121" s="111" t="s">
        <v>212</v>
      </c>
      <c r="C121" s="60"/>
      <c r="D121" s="131"/>
      <c r="E121" s="393"/>
      <c r="F121" s="591"/>
    </row>
    <row r="122" spans="1:6" ht="15" customHeight="1" x14ac:dyDescent="0.3">
      <c r="A122" s="64" t="s">
        <v>217</v>
      </c>
      <c r="B122" s="127" t="s">
        <v>213</v>
      </c>
      <c r="C122" s="60"/>
      <c r="D122" s="131"/>
      <c r="E122" s="393"/>
      <c r="F122" s="591"/>
    </row>
    <row r="123" spans="1:6" ht="24.9" customHeight="1" x14ac:dyDescent="0.3">
      <c r="A123" s="66" t="s">
        <v>218</v>
      </c>
      <c r="B123" s="69" t="s">
        <v>425</v>
      </c>
      <c r="C123" s="62" t="s">
        <v>18</v>
      </c>
      <c r="D123" s="70">
        <v>2</v>
      </c>
      <c r="E123" s="383"/>
      <c r="F123" s="591"/>
    </row>
    <row r="124" spans="1:6" ht="24.9" customHeight="1" x14ac:dyDescent="0.3">
      <c r="A124" s="66" t="s">
        <v>219</v>
      </c>
      <c r="B124" s="69" t="s">
        <v>731</v>
      </c>
      <c r="C124" s="62" t="s">
        <v>18</v>
      </c>
      <c r="D124" s="70">
        <v>2</v>
      </c>
      <c r="E124" s="383"/>
      <c r="F124" s="591"/>
    </row>
    <row r="125" spans="1:6" ht="15" customHeight="1" x14ac:dyDescent="0.3">
      <c r="A125" s="64" t="s">
        <v>220</v>
      </c>
      <c r="B125" s="127" t="s">
        <v>221</v>
      </c>
      <c r="C125" s="60"/>
      <c r="D125" s="131"/>
      <c r="E125" s="393"/>
      <c r="F125" s="591"/>
    </row>
    <row r="126" spans="1:6" ht="15" customHeight="1" x14ac:dyDescent="0.3">
      <c r="A126" s="65" t="s">
        <v>222</v>
      </c>
      <c r="B126" s="113" t="s">
        <v>705</v>
      </c>
      <c r="C126" s="60" t="s">
        <v>18</v>
      </c>
      <c r="D126" s="131">
        <v>2</v>
      </c>
      <c r="E126" s="393"/>
      <c r="F126" s="591"/>
    </row>
    <row r="127" spans="1:6" ht="15" customHeight="1" x14ac:dyDescent="0.3">
      <c r="A127" s="65" t="s">
        <v>223</v>
      </c>
      <c r="B127" s="81" t="s">
        <v>214</v>
      </c>
      <c r="C127" s="63" t="s">
        <v>18</v>
      </c>
      <c r="D127" s="212">
        <v>2</v>
      </c>
      <c r="E127" s="401"/>
      <c r="F127" s="591"/>
    </row>
    <row r="128" spans="1:6" ht="15" customHeight="1" x14ac:dyDescent="0.3">
      <c r="A128" s="65" t="s">
        <v>224</v>
      </c>
      <c r="B128" s="81" t="s">
        <v>430</v>
      </c>
      <c r="C128" s="63" t="s">
        <v>18</v>
      </c>
      <c r="D128" s="212">
        <v>2</v>
      </c>
      <c r="E128" s="401"/>
      <c r="F128" s="591"/>
    </row>
    <row r="129" spans="1:6" s="613" customFormat="1" ht="15" customHeight="1" x14ac:dyDescent="0.3">
      <c r="A129" s="65" t="s">
        <v>726</v>
      </c>
      <c r="B129" s="81" t="s">
        <v>727</v>
      </c>
      <c r="C129" s="63" t="s">
        <v>18</v>
      </c>
      <c r="D129" s="212">
        <v>2</v>
      </c>
      <c r="E129" s="401"/>
      <c r="F129" s="591"/>
    </row>
    <row r="130" spans="1:6" ht="15" customHeight="1" thickBot="1" x14ac:dyDescent="0.35">
      <c r="A130" s="78"/>
      <c r="B130" s="128"/>
      <c r="C130" s="63"/>
      <c r="D130" s="206"/>
      <c r="E130" s="207"/>
      <c r="F130" s="121"/>
    </row>
    <row r="131" spans="1:6" ht="15" customHeight="1" thickBot="1" x14ac:dyDescent="0.35">
      <c r="A131" s="767" t="s">
        <v>225</v>
      </c>
      <c r="B131" s="768"/>
      <c r="C131" s="768"/>
      <c r="D131" s="768"/>
      <c r="E131" s="768"/>
      <c r="F131" s="586"/>
    </row>
    <row r="132" spans="1:6" ht="15" customHeight="1" x14ac:dyDescent="0.3">
      <c r="A132" s="39"/>
      <c r="B132" s="129"/>
      <c r="C132" s="29"/>
      <c r="D132" s="205"/>
      <c r="E132" s="33"/>
      <c r="F132" s="110"/>
    </row>
    <row r="133" spans="1:6" ht="15" customHeight="1" x14ac:dyDescent="0.3">
      <c r="A133" s="58" t="s">
        <v>226</v>
      </c>
      <c r="B133" s="99" t="s">
        <v>227</v>
      </c>
      <c r="C133" s="4"/>
      <c r="D133" s="24"/>
      <c r="E133" s="174"/>
      <c r="F133" s="98"/>
    </row>
    <row r="134" spans="1:6" ht="15" customHeight="1" x14ac:dyDescent="0.3">
      <c r="A134" s="39"/>
      <c r="B134" s="129"/>
      <c r="C134" s="29"/>
      <c r="D134" s="205"/>
      <c r="E134" s="33"/>
      <c r="F134" s="110"/>
    </row>
    <row r="135" spans="1:6" ht="15" customHeight="1" x14ac:dyDescent="0.3">
      <c r="A135" s="64" t="s">
        <v>44</v>
      </c>
      <c r="B135" s="111" t="s">
        <v>228</v>
      </c>
      <c r="C135" s="60"/>
      <c r="D135" s="131"/>
      <c r="E135" s="80"/>
      <c r="F135" s="119"/>
    </row>
    <row r="136" spans="1:6" ht="15" customHeight="1" x14ac:dyDescent="0.3">
      <c r="A136" s="64" t="s">
        <v>75</v>
      </c>
      <c r="B136" s="127" t="s">
        <v>229</v>
      </c>
      <c r="C136" s="60"/>
      <c r="D136" s="131"/>
      <c r="E136" s="80"/>
      <c r="F136" s="119"/>
    </row>
    <row r="137" spans="1:6" ht="15" customHeight="1" x14ac:dyDescent="0.3">
      <c r="A137" s="65" t="s">
        <v>242</v>
      </c>
      <c r="B137" s="113" t="s">
        <v>241</v>
      </c>
      <c r="C137" s="60" t="s">
        <v>15</v>
      </c>
      <c r="D137" s="131">
        <f>3.03+3.5</f>
        <v>6.5299999999999994</v>
      </c>
      <c r="E137" s="393"/>
      <c r="F137" s="591"/>
    </row>
    <row r="138" spans="1:6" ht="15" customHeight="1" x14ac:dyDescent="0.3">
      <c r="A138" s="64" t="s">
        <v>24</v>
      </c>
      <c r="B138" s="111" t="s">
        <v>232</v>
      </c>
      <c r="C138" s="60"/>
      <c r="D138" s="131"/>
      <c r="E138" s="393"/>
      <c r="F138" s="591"/>
    </row>
    <row r="139" spans="1:6" ht="15" customHeight="1" x14ac:dyDescent="0.3">
      <c r="A139" s="64" t="s">
        <v>25</v>
      </c>
      <c r="B139" s="130" t="s">
        <v>233</v>
      </c>
      <c r="C139" s="60"/>
      <c r="D139" s="131"/>
      <c r="E139" s="393"/>
      <c r="F139" s="591"/>
    </row>
    <row r="140" spans="1:6" ht="15" customHeight="1" x14ac:dyDescent="0.3">
      <c r="A140" s="68" t="s">
        <v>243</v>
      </c>
      <c r="B140" s="132" t="s">
        <v>230</v>
      </c>
      <c r="C140" s="67" t="s">
        <v>18</v>
      </c>
      <c r="D140" s="133">
        <v>1</v>
      </c>
      <c r="E140" s="593"/>
      <c r="F140" s="591"/>
    </row>
    <row r="141" spans="1:6" ht="15" customHeight="1" x14ac:dyDescent="0.3">
      <c r="A141" s="65" t="s">
        <v>244</v>
      </c>
      <c r="B141" s="69" t="s">
        <v>723</v>
      </c>
      <c r="C141" s="60" t="s">
        <v>18</v>
      </c>
      <c r="D141" s="131">
        <v>1</v>
      </c>
      <c r="E141" s="393"/>
      <c r="F141" s="591"/>
    </row>
    <row r="142" spans="1:6" ht="15" customHeight="1" x14ac:dyDescent="0.3">
      <c r="A142" s="64" t="s">
        <v>245</v>
      </c>
      <c r="B142" s="130" t="s">
        <v>234</v>
      </c>
      <c r="C142" s="60"/>
      <c r="D142" s="131"/>
      <c r="E142" s="393"/>
      <c r="F142" s="591"/>
    </row>
    <row r="143" spans="1:6" ht="15" customHeight="1" x14ac:dyDescent="0.3">
      <c r="A143" s="66" t="s">
        <v>246</v>
      </c>
      <c r="B143" s="69" t="s">
        <v>235</v>
      </c>
      <c r="C143" s="62" t="s">
        <v>18</v>
      </c>
      <c r="D143" s="70">
        <v>1</v>
      </c>
      <c r="E143" s="383"/>
      <c r="F143" s="591"/>
    </row>
    <row r="144" spans="1:6" ht="15" customHeight="1" x14ac:dyDescent="0.3">
      <c r="A144" s="64" t="s">
        <v>247</v>
      </c>
      <c r="B144" s="130" t="s">
        <v>236</v>
      </c>
      <c r="C144" s="62"/>
      <c r="D144" s="70"/>
      <c r="E144" s="383"/>
      <c r="F144" s="591"/>
    </row>
    <row r="145" spans="1:6" ht="15" customHeight="1" x14ac:dyDescent="0.3">
      <c r="A145" s="66" t="s">
        <v>248</v>
      </c>
      <c r="B145" s="69" t="s">
        <v>237</v>
      </c>
      <c r="C145" s="62" t="s">
        <v>18</v>
      </c>
      <c r="D145" s="70">
        <v>1</v>
      </c>
      <c r="E145" s="383"/>
      <c r="F145" s="591"/>
    </row>
    <row r="146" spans="1:6" ht="15" customHeight="1" thickBot="1" x14ac:dyDescent="0.35">
      <c r="A146" s="36"/>
      <c r="B146" s="71"/>
      <c r="C146" s="37"/>
      <c r="D146" s="38"/>
      <c r="E146" s="213"/>
      <c r="F146" s="134"/>
    </row>
    <row r="147" spans="1:6" ht="15" customHeight="1" thickBot="1" x14ac:dyDescent="0.35">
      <c r="A147" s="767" t="s">
        <v>231</v>
      </c>
      <c r="B147" s="768"/>
      <c r="C147" s="768"/>
      <c r="D147" s="768"/>
      <c r="E147" s="768"/>
      <c r="F147" s="586"/>
    </row>
    <row r="148" spans="1:6" ht="15" customHeight="1" x14ac:dyDescent="0.3">
      <c r="A148" s="21"/>
      <c r="B148" s="15"/>
      <c r="C148" s="4"/>
      <c r="D148" s="24"/>
      <c r="E148" s="9"/>
      <c r="F148" s="7"/>
    </row>
    <row r="149" spans="1:6" ht="15" customHeight="1" x14ac:dyDescent="0.3">
      <c r="A149" s="58" t="s">
        <v>249</v>
      </c>
      <c r="B149" s="99" t="s">
        <v>250</v>
      </c>
      <c r="C149" s="4"/>
      <c r="D149" s="24"/>
      <c r="E149" s="174"/>
      <c r="F149" s="98"/>
    </row>
    <row r="150" spans="1:6" ht="15" customHeight="1" x14ac:dyDescent="0.3">
      <c r="A150" s="21"/>
      <c r="B150" s="15"/>
      <c r="C150" s="4"/>
      <c r="D150" s="24"/>
      <c r="E150" s="9"/>
      <c r="F150" s="7"/>
    </row>
    <row r="151" spans="1:6" ht="15" customHeight="1" x14ac:dyDescent="0.3">
      <c r="A151" s="64" t="s">
        <v>26</v>
      </c>
      <c r="B151" s="111" t="s">
        <v>251</v>
      </c>
      <c r="C151" s="60"/>
      <c r="D151" s="131"/>
      <c r="E151" s="80"/>
      <c r="F151" s="119"/>
    </row>
    <row r="152" spans="1:6" ht="15" customHeight="1" x14ac:dyDescent="0.3">
      <c r="A152" s="64" t="s">
        <v>42</v>
      </c>
      <c r="B152" s="127" t="s">
        <v>253</v>
      </c>
      <c r="C152" s="60"/>
      <c r="D152" s="131"/>
      <c r="E152" s="80"/>
      <c r="F152" s="119"/>
    </row>
    <row r="153" spans="1:6" ht="15" customHeight="1" x14ac:dyDescent="0.3">
      <c r="A153" s="65" t="s">
        <v>258</v>
      </c>
      <c r="B153" s="113" t="s">
        <v>422</v>
      </c>
      <c r="C153" s="60" t="s">
        <v>15</v>
      </c>
      <c r="D153" s="131">
        <v>21</v>
      </c>
      <c r="E153" s="393"/>
      <c r="F153" s="591"/>
    </row>
    <row r="154" spans="1:6" ht="15" customHeight="1" x14ac:dyDescent="0.3">
      <c r="A154" s="65" t="s">
        <v>259</v>
      </c>
      <c r="B154" s="113" t="s">
        <v>252</v>
      </c>
      <c r="C154" s="60" t="s">
        <v>15</v>
      </c>
      <c r="D154" s="131">
        <f>+D153</f>
        <v>21</v>
      </c>
      <c r="E154" s="393"/>
      <c r="F154" s="591"/>
    </row>
    <row r="155" spans="1:6" ht="15" customHeight="1" x14ac:dyDescent="0.3">
      <c r="A155" s="64" t="s">
        <v>266</v>
      </c>
      <c r="B155" s="127" t="s">
        <v>254</v>
      </c>
      <c r="C155" s="60"/>
      <c r="D155" s="131"/>
      <c r="E155" s="393"/>
      <c r="F155" s="591"/>
    </row>
    <row r="156" spans="1:6" ht="24.9" customHeight="1" x14ac:dyDescent="0.3">
      <c r="A156" s="66" t="s">
        <v>260</v>
      </c>
      <c r="B156" s="69" t="s">
        <v>280</v>
      </c>
      <c r="C156" s="62" t="s">
        <v>15</v>
      </c>
      <c r="D156" s="70">
        <v>33.47</v>
      </c>
      <c r="E156" s="383"/>
      <c r="F156" s="591"/>
    </row>
    <row r="157" spans="1:6" ht="24.9" customHeight="1" x14ac:dyDescent="0.3">
      <c r="A157" s="66" t="s">
        <v>261</v>
      </c>
      <c r="B157" s="69" t="s">
        <v>264</v>
      </c>
      <c r="C157" s="62" t="s">
        <v>54</v>
      </c>
      <c r="D157" s="70">
        <v>2</v>
      </c>
      <c r="E157" s="383"/>
      <c r="F157" s="591"/>
    </row>
    <row r="158" spans="1:6" ht="15" customHeight="1" x14ac:dyDescent="0.3">
      <c r="A158" s="64" t="s">
        <v>267</v>
      </c>
      <c r="B158" s="127" t="s">
        <v>255</v>
      </c>
      <c r="C158" s="60"/>
      <c r="D158" s="131"/>
      <c r="E158" s="393"/>
      <c r="F158" s="591"/>
    </row>
    <row r="159" spans="1:6" ht="24.9" customHeight="1" x14ac:dyDescent="0.3">
      <c r="A159" s="66" t="s">
        <v>281</v>
      </c>
      <c r="B159" s="69" t="s">
        <v>670</v>
      </c>
      <c r="C159" s="62" t="s">
        <v>18</v>
      </c>
      <c r="D159" s="70">
        <v>1</v>
      </c>
      <c r="E159" s="383"/>
      <c r="F159" s="591"/>
    </row>
    <row r="160" spans="1:6" ht="15" customHeight="1" x14ac:dyDescent="0.3">
      <c r="A160" s="64" t="s">
        <v>27</v>
      </c>
      <c r="B160" s="111" t="s">
        <v>263</v>
      </c>
      <c r="C160" s="60"/>
      <c r="D160" s="131"/>
      <c r="E160" s="393"/>
      <c r="F160" s="591"/>
    </row>
    <row r="161" spans="1:6" ht="15" customHeight="1" x14ac:dyDescent="0.3">
      <c r="A161" s="64" t="s">
        <v>71</v>
      </c>
      <c r="B161" s="127" t="s">
        <v>257</v>
      </c>
      <c r="C161" s="60"/>
      <c r="D161" s="131"/>
      <c r="E161" s="393"/>
      <c r="F161" s="591"/>
    </row>
    <row r="162" spans="1:6" ht="15" customHeight="1" x14ac:dyDescent="0.3">
      <c r="A162" s="65" t="s">
        <v>260</v>
      </c>
      <c r="B162" s="113" t="s">
        <v>423</v>
      </c>
      <c r="C162" s="60" t="s">
        <v>15</v>
      </c>
      <c r="D162" s="131">
        <f>7*1.9*1.2</f>
        <v>15.959999999999997</v>
      </c>
      <c r="E162" s="393"/>
      <c r="F162" s="591"/>
    </row>
    <row r="163" spans="1:6" ht="15" customHeight="1" x14ac:dyDescent="0.3">
      <c r="A163" s="65" t="s">
        <v>261</v>
      </c>
      <c r="B163" s="113" t="s">
        <v>428</v>
      </c>
      <c r="C163" s="60" t="s">
        <v>15</v>
      </c>
      <c r="D163" s="131">
        <f>+(2.45+3.47+3.37+0.3*8+0.72+1.2*2+2.01+3.11+2.53+0.31+2*1.9)*1.2</f>
        <v>31.884</v>
      </c>
      <c r="E163" s="393"/>
      <c r="F163" s="591"/>
    </row>
    <row r="164" spans="1:6" ht="15" customHeight="1" x14ac:dyDescent="0.3">
      <c r="A164" s="65" t="s">
        <v>262</v>
      </c>
      <c r="B164" s="113" t="s">
        <v>256</v>
      </c>
      <c r="C164" s="60" t="s">
        <v>15</v>
      </c>
      <c r="D164" s="131">
        <f>+(2.76+2.37+1.1+1.73+1.56+4.2+1.06+1.78+5.15+2.42+10.46+1.33+1.71+1.95+1.71+1.22+5.11+1.22)*1.2</f>
        <v>58.608000000000004</v>
      </c>
      <c r="E164" s="393"/>
      <c r="F164" s="591"/>
    </row>
    <row r="165" spans="1:6" ht="15" customHeight="1" x14ac:dyDescent="0.3">
      <c r="A165" s="78" t="s">
        <v>28</v>
      </c>
      <c r="B165" s="214" t="s">
        <v>268</v>
      </c>
      <c r="C165" s="185"/>
      <c r="D165" s="165"/>
      <c r="E165" s="165"/>
      <c r="F165" s="591"/>
    </row>
    <row r="166" spans="1:6" ht="15" customHeight="1" x14ac:dyDescent="0.3">
      <c r="A166" s="147" t="s">
        <v>87</v>
      </c>
      <c r="B166" s="215" t="s">
        <v>270</v>
      </c>
      <c r="C166" s="216"/>
      <c r="D166" s="166"/>
      <c r="E166" s="166"/>
      <c r="F166" s="591"/>
    </row>
    <row r="167" spans="1:6" ht="15" customHeight="1" x14ac:dyDescent="0.3">
      <c r="A167" s="148" t="s">
        <v>282</v>
      </c>
      <c r="B167" s="216" t="s">
        <v>269</v>
      </c>
      <c r="C167" s="163" t="s">
        <v>18</v>
      </c>
      <c r="D167" s="169">
        <v>7</v>
      </c>
      <c r="E167" s="166"/>
      <c r="F167" s="591"/>
    </row>
    <row r="168" spans="1:6" ht="15" customHeight="1" x14ac:dyDescent="0.3">
      <c r="A168" s="148" t="s">
        <v>283</v>
      </c>
      <c r="B168" s="216" t="s">
        <v>274</v>
      </c>
      <c r="C168" s="163" t="s">
        <v>18</v>
      </c>
      <c r="D168" s="169">
        <v>1</v>
      </c>
      <c r="E168" s="166"/>
      <c r="F168" s="591"/>
    </row>
    <row r="169" spans="1:6" ht="15" customHeight="1" x14ac:dyDescent="0.3">
      <c r="A169" s="135" t="s">
        <v>89</v>
      </c>
      <c r="B169" s="217" t="s">
        <v>271</v>
      </c>
      <c r="C169" s="185"/>
      <c r="D169" s="165"/>
      <c r="E169" s="165"/>
      <c r="F169" s="591"/>
    </row>
    <row r="170" spans="1:6" ht="15" customHeight="1" x14ac:dyDescent="0.3">
      <c r="A170" s="136" t="s">
        <v>284</v>
      </c>
      <c r="B170" s="113" t="s">
        <v>272</v>
      </c>
      <c r="C170" s="60" t="s">
        <v>18</v>
      </c>
      <c r="D170" s="131">
        <f>1+1+1+1</f>
        <v>4</v>
      </c>
      <c r="E170" s="393"/>
      <c r="F170" s="591"/>
    </row>
    <row r="171" spans="1:6" ht="15" customHeight="1" x14ac:dyDescent="0.3">
      <c r="A171" s="136" t="s">
        <v>285</v>
      </c>
      <c r="B171" s="113" t="s">
        <v>273</v>
      </c>
      <c r="C171" s="60" t="s">
        <v>18</v>
      </c>
      <c r="D171" s="131">
        <f>1+1</f>
        <v>2</v>
      </c>
      <c r="E171" s="393"/>
      <c r="F171" s="591"/>
    </row>
    <row r="172" spans="1:6" ht="15" customHeight="1" x14ac:dyDescent="0.3">
      <c r="A172" s="136" t="s">
        <v>286</v>
      </c>
      <c r="B172" s="113" t="s">
        <v>424</v>
      </c>
      <c r="C172" s="60" t="s">
        <v>18</v>
      </c>
      <c r="D172" s="131">
        <f>1+1</f>
        <v>2</v>
      </c>
      <c r="E172" s="393"/>
      <c r="F172" s="591"/>
    </row>
    <row r="173" spans="1:6" ht="15" customHeight="1" x14ac:dyDescent="0.3">
      <c r="A173" s="135" t="s">
        <v>90</v>
      </c>
      <c r="B173" s="127" t="s">
        <v>275</v>
      </c>
      <c r="C173" s="60"/>
      <c r="D173" s="131"/>
      <c r="E173" s="393"/>
      <c r="F173" s="591"/>
    </row>
    <row r="174" spans="1:6" ht="15" customHeight="1" x14ac:dyDescent="0.3">
      <c r="A174" s="136" t="s">
        <v>287</v>
      </c>
      <c r="B174" s="113" t="s">
        <v>276</v>
      </c>
      <c r="C174" s="60" t="s">
        <v>18</v>
      </c>
      <c r="D174" s="131">
        <v>8</v>
      </c>
      <c r="E174" s="393"/>
      <c r="F174" s="591"/>
    </row>
    <row r="175" spans="1:6" ht="15" customHeight="1" x14ac:dyDescent="0.3">
      <c r="A175" s="136" t="s">
        <v>288</v>
      </c>
      <c r="B175" s="113" t="s">
        <v>277</v>
      </c>
      <c r="C175" s="60" t="s">
        <v>18</v>
      </c>
      <c r="D175" s="131">
        <v>6</v>
      </c>
      <c r="E175" s="393"/>
      <c r="F175" s="591"/>
    </row>
    <row r="176" spans="1:6" ht="15" customHeight="1" x14ac:dyDescent="0.3">
      <c r="A176" s="136" t="s">
        <v>289</v>
      </c>
      <c r="B176" s="113" t="s">
        <v>278</v>
      </c>
      <c r="C176" s="60" t="s">
        <v>18</v>
      </c>
      <c r="D176" s="131">
        <v>1</v>
      </c>
      <c r="E176" s="393"/>
      <c r="F176" s="591"/>
    </row>
    <row r="177" spans="1:6" ht="15" customHeight="1" x14ac:dyDescent="0.3">
      <c r="A177" s="136" t="s">
        <v>290</v>
      </c>
      <c r="B177" s="113" t="s">
        <v>279</v>
      </c>
      <c r="C177" s="60" t="s">
        <v>18</v>
      </c>
      <c r="D177" s="131">
        <v>2</v>
      </c>
      <c r="E177" s="393"/>
      <c r="F177" s="591"/>
    </row>
    <row r="178" spans="1:6" ht="15" customHeight="1" x14ac:dyDescent="0.3">
      <c r="A178" s="135" t="s">
        <v>29</v>
      </c>
      <c r="B178" s="111" t="s">
        <v>232</v>
      </c>
      <c r="C178" s="60"/>
      <c r="D178" s="131"/>
      <c r="E178" s="393"/>
      <c r="F178" s="591"/>
    </row>
    <row r="179" spans="1:6" ht="15" customHeight="1" x14ac:dyDescent="0.3">
      <c r="A179" s="65" t="s">
        <v>91</v>
      </c>
      <c r="B179" s="113" t="s">
        <v>265</v>
      </c>
      <c r="C179" s="60" t="s">
        <v>54</v>
      </c>
      <c r="D179" s="131">
        <v>1</v>
      </c>
      <c r="E179" s="393"/>
      <c r="F179" s="591"/>
    </row>
    <row r="180" spans="1:6" ht="15" customHeight="1" thickBot="1" x14ac:dyDescent="0.35">
      <c r="A180" s="65"/>
      <c r="B180" s="113"/>
      <c r="C180" s="60"/>
      <c r="D180" s="131"/>
      <c r="E180" s="80"/>
      <c r="F180" s="119"/>
    </row>
    <row r="181" spans="1:6" ht="15" customHeight="1" thickBot="1" x14ac:dyDescent="0.35">
      <c r="A181" s="767" t="s">
        <v>291</v>
      </c>
      <c r="B181" s="768"/>
      <c r="C181" s="768"/>
      <c r="D181" s="768"/>
      <c r="E181" s="768"/>
      <c r="F181" s="586"/>
    </row>
    <row r="182" spans="1:6" ht="15" customHeight="1" x14ac:dyDescent="0.3">
      <c r="A182" s="65"/>
      <c r="B182" s="113"/>
      <c r="C182" s="60"/>
      <c r="D182" s="218"/>
      <c r="E182" s="80"/>
      <c r="F182" s="119"/>
    </row>
    <row r="183" spans="1:6" ht="15" customHeight="1" x14ac:dyDescent="0.3">
      <c r="A183" s="58" t="s">
        <v>292</v>
      </c>
      <c r="B183" s="99" t="s">
        <v>293</v>
      </c>
      <c r="C183" s="4"/>
      <c r="D183" s="24"/>
      <c r="E183" s="174"/>
      <c r="F183" s="98"/>
    </row>
    <row r="184" spans="1:6" ht="15" customHeight="1" x14ac:dyDescent="0.3">
      <c r="A184" s="65"/>
      <c r="B184" s="113"/>
      <c r="C184" s="60"/>
      <c r="D184" s="218"/>
      <c r="E184" s="80"/>
      <c r="F184" s="119"/>
    </row>
    <row r="185" spans="1:6" ht="15" customHeight="1" x14ac:dyDescent="0.3">
      <c r="A185" s="64" t="s">
        <v>294</v>
      </c>
      <c r="B185" s="111" t="s">
        <v>295</v>
      </c>
      <c r="C185" s="60"/>
      <c r="D185" s="131"/>
      <c r="E185" s="80"/>
      <c r="F185" s="119"/>
    </row>
    <row r="186" spans="1:6" ht="15" customHeight="1" x14ac:dyDescent="0.3">
      <c r="A186" s="64" t="s">
        <v>296</v>
      </c>
      <c r="B186" s="127" t="s">
        <v>297</v>
      </c>
      <c r="C186" s="60"/>
      <c r="D186" s="218"/>
      <c r="E186" s="80"/>
      <c r="F186" s="119"/>
    </row>
    <row r="187" spans="1:6" ht="15" customHeight="1" x14ac:dyDescent="0.3">
      <c r="A187" s="65" t="s">
        <v>298</v>
      </c>
      <c r="B187" s="113" t="s">
        <v>301</v>
      </c>
      <c r="C187" s="60" t="s">
        <v>18</v>
      </c>
      <c r="D187" s="131">
        <v>1</v>
      </c>
      <c r="E187" s="393"/>
      <c r="F187" s="591"/>
    </row>
    <row r="188" spans="1:6" ht="15" customHeight="1" x14ac:dyDescent="0.3">
      <c r="A188" s="65" t="s">
        <v>299</v>
      </c>
      <c r="B188" s="113" t="s">
        <v>302</v>
      </c>
      <c r="C188" s="60" t="s">
        <v>18</v>
      </c>
      <c r="D188" s="131">
        <v>1</v>
      </c>
      <c r="E188" s="393"/>
      <c r="F188" s="591"/>
    </row>
    <row r="189" spans="1:6" ht="15" customHeight="1" x14ac:dyDescent="0.3">
      <c r="A189" s="64" t="s">
        <v>305</v>
      </c>
      <c r="B189" s="127" t="s">
        <v>300</v>
      </c>
      <c r="C189" s="60"/>
      <c r="D189" s="131"/>
      <c r="E189" s="393"/>
      <c r="F189" s="591"/>
    </row>
    <row r="190" spans="1:6" ht="15" customHeight="1" x14ac:dyDescent="0.3">
      <c r="A190" s="65" t="s">
        <v>306</v>
      </c>
      <c r="B190" s="113" t="s">
        <v>303</v>
      </c>
      <c r="C190" s="60" t="s">
        <v>18</v>
      </c>
      <c r="D190" s="131">
        <v>3</v>
      </c>
      <c r="E190" s="393"/>
      <c r="F190" s="591"/>
    </row>
    <row r="191" spans="1:6" ht="15" customHeight="1" x14ac:dyDescent="0.3">
      <c r="A191" s="65" t="s">
        <v>307</v>
      </c>
      <c r="B191" s="113" t="s">
        <v>304</v>
      </c>
      <c r="C191" s="60" t="s">
        <v>18</v>
      </c>
      <c r="D191" s="131">
        <v>1</v>
      </c>
      <c r="E191" s="393"/>
      <c r="F191" s="591"/>
    </row>
    <row r="192" spans="1:6" ht="15" customHeight="1" thickBot="1" x14ac:dyDescent="0.35">
      <c r="A192" s="65"/>
      <c r="B192" s="113"/>
      <c r="C192" s="60"/>
      <c r="D192" s="218"/>
      <c r="E192" s="80"/>
      <c r="F192" s="119"/>
    </row>
    <row r="193" spans="1:6" ht="15" customHeight="1" thickBot="1" x14ac:dyDescent="0.35">
      <c r="A193" s="767" t="s">
        <v>308</v>
      </c>
      <c r="B193" s="768"/>
      <c r="C193" s="768"/>
      <c r="D193" s="768"/>
      <c r="E193" s="768"/>
      <c r="F193" s="586"/>
    </row>
    <row r="194" spans="1:6" ht="15" customHeight="1" x14ac:dyDescent="0.3">
      <c r="A194" s="65"/>
      <c r="B194" s="113"/>
      <c r="C194" s="60"/>
      <c r="D194" s="218"/>
      <c r="E194" s="80"/>
      <c r="F194" s="119"/>
    </row>
    <row r="195" spans="1:6" ht="15" customHeight="1" x14ac:dyDescent="0.3">
      <c r="A195" s="58" t="s">
        <v>309</v>
      </c>
      <c r="B195" s="99" t="s">
        <v>310</v>
      </c>
      <c r="C195" s="4"/>
      <c r="D195" s="24"/>
      <c r="E195" s="174"/>
      <c r="F195" s="98"/>
    </row>
    <row r="196" spans="1:6" ht="15" customHeight="1" x14ac:dyDescent="0.3">
      <c r="A196" s="65"/>
      <c r="B196" s="113"/>
      <c r="C196" s="60"/>
      <c r="D196" s="218"/>
      <c r="E196" s="80"/>
      <c r="F196" s="119"/>
    </row>
    <row r="197" spans="1:6" ht="15" customHeight="1" x14ac:dyDescent="0.3">
      <c r="A197" s="64" t="s">
        <v>48</v>
      </c>
      <c r="B197" s="111" t="s">
        <v>88</v>
      </c>
      <c r="C197" s="60"/>
      <c r="D197" s="131"/>
      <c r="E197" s="80"/>
      <c r="F197" s="119"/>
    </row>
    <row r="198" spans="1:6" ht="15" customHeight="1" x14ac:dyDescent="0.3">
      <c r="A198" s="64" t="s">
        <v>49</v>
      </c>
      <c r="B198" s="127" t="s">
        <v>311</v>
      </c>
      <c r="C198" s="60"/>
      <c r="D198" s="218"/>
      <c r="E198" s="80"/>
      <c r="F198" s="119"/>
    </row>
    <row r="199" spans="1:6" ht="15" customHeight="1" x14ac:dyDescent="0.3">
      <c r="A199" s="65" t="s">
        <v>313</v>
      </c>
      <c r="B199" s="113" t="s">
        <v>312</v>
      </c>
      <c r="C199" s="60" t="s">
        <v>414</v>
      </c>
      <c r="D199" s="131">
        <v>1</v>
      </c>
      <c r="E199" s="393"/>
      <c r="F199" s="591"/>
    </row>
    <row r="200" spans="1:6" ht="15" customHeight="1" x14ac:dyDescent="0.3">
      <c r="A200" s="64" t="s">
        <v>316</v>
      </c>
      <c r="B200" s="111" t="s">
        <v>314</v>
      </c>
      <c r="C200" s="60"/>
      <c r="D200" s="131"/>
      <c r="E200" s="393"/>
      <c r="F200" s="591"/>
    </row>
    <row r="201" spans="1:6" ht="15" customHeight="1" x14ac:dyDescent="0.3">
      <c r="A201" s="65" t="s">
        <v>319</v>
      </c>
      <c r="B201" s="113" t="s">
        <v>315</v>
      </c>
      <c r="C201" s="60" t="s">
        <v>15</v>
      </c>
      <c r="D201" s="131">
        <f>+(8.29+2*0.3+3)*1.2</f>
        <v>14.267999999999999</v>
      </c>
      <c r="E201" s="393"/>
      <c r="F201" s="591"/>
    </row>
    <row r="202" spans="1:6" ht="15" customHeight="1" x14ac:dyDescent="0.3">
      <c r="A202" s="65" t="s">
        <v>320</v>
      </c>
      <c r="B202" s="113" t="s">
        <v>318</v>
      </c>
      <c r="C202" s="60" t="s">
        <v>15</v>
      </c>
      <c r="D202" s="131">
        <f>+D201</f>
        <v>14.267999999999999</v>
      </c>
      <c r="E202" s="393"/>
      <c r="F202" s="591"/>
    </row>
    <row r="203" spans="1:6" ht="15" customHeight="1" x14ac:dyDescent="0.3">
      <c r="A203" s="65" t="s">
        <v>321</v>
      </c>
      <c r="B203" s="113" t="s">
        <v>317</v>
      </c>
      <c r="C203" s="60" t="s">
        <v>18</v>
      </c>
      <c r="D203" s="131">
        <v>1</v>
      </c>
      <c r="E203" s="393"/>
      <c r="F203" s="591"/>
    </row>
    <row r="204" spans="1:6" ht="15" customHeight="1" x14ac:dyDescent="0.3">
      <c r="A204" s="64" t="s">
        <v>323</v>
      </c>
      <c r="B204" s="111" t="s">
        <v>322</v>
      </c>
      <c r="C204" s="60"/>
      <c r="D204" s="131"/>
      <c r="E204" s="393"/>
      <c r="F204" s="591"/>
    </row>
    <row r="205" spans="1:6" ht="15" customHeight="1" x14ac:dyDescent="0.3">
      <c r="A205" s="65" t="s">
        <v>325</v>
      </c>
      <c r="B205" s="113" t="s">
        <v>324</v>
      </c>
      <c r="C205" s="60" t="s">
        <v>18</v>
      </c>
      <c r="D205" s="131">
        <v>2</v>
      </c>
      <c r="E205" s="393"/>
      <c r="F205" s="591"/>
    </row>
    <row r="206" spans="1:6" ht="15" customHeight="1" thickBot="1" x14ac:dyDescent="0.35">
      <c r="A206" s="65"/>
      <c r="B206" s="113"/>
      <c r="C206" s="60"/>
      <c r="D206" s="218"/>
      <c r="E206" s="80"/>
      <c r="F206" s="119"/>
    </row>
    <row r="207" spans="1:6" ht="15" customHeight="1" thickBot="1" x14ac:dyDescent="0.35">
      <c r="A207" s="767" t="s">
        <v>326</v>
      </c>
      <c r="B207" s="768"/>
      <c r="C207" s="768"/>
      <c r="D207" s="768"/>
      <c r="E207" s="768"/>
      <c r="F207" s="586"/>
    </row>
    <row r="208" spans="1:6" ht="15" customHeight="1" x14ac:dyDescent="0.3">
      <c r="A208" s="65"/>
      <c r="B208" s="113"/>
      <c r="C208" s="60"/>
      <c r="D208" s="218"/>
      <c r="E208" s="80"/>
      <c r="F208" s="119"/>
    </row>
    <row r="209" spans="1:6" ht="15" customHeight="1" x14ac:dyDescent="0.3">
      <c r="A209" s="58" t="s">
        <v>327</v>
      </c>
      <c r="B209" s="99" t="s">
        <v>328</v>
      </c>
      <c r="C209" s="4"/>
      <c r="D209" s="24"/>
      <c r="E209" s="174"/>
      <c r="F209" s="98"/>
    </row>
    <row r="210" spans="1:6" ht="15" customHeight="1" x14ac:dyDescent="0.3">
      <c r="A210" s="65"/>
      <c r="B210" s="113"/>
      <c r="C210" s="60"/>
      <c r="D210" s="218"/>
      <c r="E210" s="80"/>
      <c r="F210" s="119"/>
    </row>
    <row r="211" spans="1:6" ht="15" customHeight="1" x14ac:dyDescent="0.3">
      <c r="A211" s="64" t="s">
        <v>93</v>
      </c>
      <c r="B211" s="111" t="s">
        <v>329</v>
      </c>
      <c r="C211" s="60"/>
      <c r="D211" s="218"/>
      <c r="E211" s="80"/>
      <c r="F211" s="119"/>
    </row>
    <row r="212" spans="1:6" ht="15" customHeight="1" x14ac:dyDescent="0.3">
      <c r="A212" s="64" t="s">
        <v>94</v>
      </c>
      <c r="B212" s="127" t="s">
        <v>330</v>
      </c>
      <c r="C212" s="60"/>
      <c r="D212" s="218"/>
      <c r="E212" s="80"/>
      <c r="F212" s="119"/>
    </row>
    <row r="213" spans="1:6" s="18" customFormat="1" ht="24.9" customHeight="1" x14ac:dyDescent="0.3">
      <c r="A213" s="66" t="s">
        <v>332</v>
      </c>
      <c r="B213" s="69" t="s">
        <v>709</v>
      </c>
      <c r="C213" s="62" t="s">
        <v>18</v>
      </c>
      <c r="D213" s="70">
        <f>1+1</f>
        <v>2</v>
      </c>
      <c r="E213" s="383"/>
      <c r="F213" s="591"/>
    </row>
    <row r="214" spans="1:6" ht="15" customHeight="1" thickBot="1" x14ac:dyDescent="0.35">
      <c r="A214" s="65"/>
      <c r="B214" s="113"/>
      <c r="C214" s="60"/>
      <c r="D214" s="218"/>
      <c r="E214" s="80"/>
      <c r="F214" s="119"/>
    </row>
    <row r="215" spans="1:6" ht="15" customHeight="1" thickBot="1" x14ac:dyDescent="0.35">
      <c r="A215" s="767" t="s">
        <v>333</v>
      </c>
      <c r="B215" s="768"/>
      <c r="C215" s="768"/>
      <c r="D215" s="768"/>
      <c r="E215" s="768"/>
      <c r="F215" s="586"/>
    </row>
    <row r="216" spans="1:6" ht="15" customHeight="1" x14ac:dyDescent="0.3">
      <c r="A216" s="65"/>
      <c r="B216" s="113"/>
      <c r="C216" s="60"/>
      <c r="D216" s="218"/>
      <c r="E216" s="80"/>
      <c r="F216" s="119"/>
    </row>
    <row r="217" spans="1:6" ht="15" customHeight="1" x14ac:dyDescent="0.3">
      <c r="A217" s="58" t="s">
        <v>334</v>
      </c>
      <c r="B217" s="99" t="s">
        <v>335</v>
      </c>
      <c r="C217" s="4"/>
      <c r="D217" s="24"/>
      <c r="E217" s="174"/>
      <c r="F217" s="98"/>
    </row>
    <row r="218" spans="1:6" ht="15" customHeight="1" x14ac:dyDescent="0.3">
      <c r="A218" s="65"/>
      <c r="B218" s="113"/>
      <c r="C218" s="60"/>
      <c r="D218" s="218"/>
      <c r="E218" s="80"/>
      <c r="F218" s="119"/>
    </row>
    <row r="219" spans="1:6" ht="15" customHeight="1" x14ac:dyDescent="0.3">
      <c r="A219" s="64" t="s">
        <v>69</v>
      </c>
      <c r="B219" s="111" t="s">
        <v>336</v>
      </c>
      <c r="C219" s="60"/>
      <c r="D219" s="218"/>
      <c r="E219" s="80"/>
      <c r="F219" s="119"/>
    </row>
    <row r="220" spans="1:6" ht="15" customHeight="1" x14ac:dyDescent="0.3">
      <c r="A220" s="64" t="s">
        <v>70</v>
      </c>
      <c r="B220" s="127" t="s">
        <v>337</v>
      </c>
      <c r="C220" s="60"/>
      <c r="D220" s="218"/>
      <c r="E220" s="80"/>
      <c r="F220" s="119"/>
    </row>
    <row r="221" spans="1:6" ht="15" customHeight="1" x14ac:dyDescent="0.3">
      <c r="A221" s="65" t="s">
        <v>342</v>
      </c>
      <c r="B221" s="113" t="s">
        <v>671</v>
      </c>
      <c r="C221" s="163" t="s">
        <v>131</v>
      </c>
      <c r="D221" s="131">
        <f>10.97+8.63+14.68+8.79</f>
        <v>43.07</v>
      </c>
      <c r="E221" s="393"/>
      <c r="F221" s="591"/>
    </row>
    <row r="222" spans="1:6" ht="15" customHeight="1" x14ac:dyDescent="0.3">
      <c r="A222" s="65" t="s">
        <v>343</v>
      </c>
      <c r="B222" s="113" t="s">
        <v>338</v>
      </c>
      <c r="C222" s="163" t="s">
        <v>131</v>
      </c>
      <c r="D222" s="131">
        <f>2*2.4</f>
        <v>4.8</v>
      </c>
      <c r="E222" s="393"/>
      <c r="F222" s="591"/>
    </row>
    <row r="223" spans="1:6" ht="15" customHeight="1" x14ac:dyDescent="0.3">
      <c r="A223" s="65" t="s">
        <v>344</v>
      </c>
      <c r="B223" s="113" t="s">
        <v>339</v>
      </c>
      <c r="C223" s="60" t="s">
        <v>15</v>
      </c>
      <c r="D223" s="131">
        <f>+((13.28-0.9)+(15.14-(2*0.9+0.8))+(17.64-(0.9+0.8))+4.58+(2*1.68)+(0.28*4)+(0.18*6))</f>
        <v>50.999999999999993</v>
      </c>
      <c r="E223" s="393"/>
      <c r="F223" s="591"/>
    </row>
    <row r="224" spans="1:6" ht="15" customHeight="1" x14ac:dyDescent="0.3">
      <c r="A224" s="64" t="s">
        <v>345</v>
      </c>
      <c r="B224" s="111" t="s">
        <v>340</v>
      </c>
      <c r="C224" s="60"/>
      <c r="D224" s="131"/>
      <c r="E224" s="393"/>
      <c r="F224" s="591"/>
    </row>
    <row r="225" spans="1:6" ht="15" customHeight="1" x14ac:dyDescent="0.3">
      <c r="A225" s="64" t="s">
        <v>346</v>
      </c>
      <c r="B225" s="127" t="s">
        <v>341</v>
      </c>
      <c r="C225" s="60"/>
      <c r="D225" s="131"/>
      <c r="E225" s="393"/>
      <c r="F225" s="591"/>
    </row>
    <row r="226" spans="1:6" ht="15" customHeight="1" x14ac:dyDescent="0.3">
      <c r="A226" s="65" t="s">
        <v>347</v>
      </c>
      <c r="B226" s="113" t="s">
        <v>429</v>
      </c>
      <c r="C226" s="163" t="s">
        <v>131</v>
      </c>
      <c r="D226" s="131">
        <f>(6.4-0.8)*2.2*2</f>
        <v>24.640000000000004</v>
      </c>
      <c r="E226" s="393"/>
      <c r="F226" s="591"/>
    </row>
    <row r="227" spans="1:6" ht="15" customHeight="1" thickBot="1" x14ac:dyDescent="0.35">
      <c r="A227" s="65"/>
      <c r="B227" s="113"/>
      <c r="C227" s="60"/>
      <c r="D227" s="218"/>
      <c r="E227" s="80"/>
      <c r="F227" s="119"/>
    </row>
    <row r="228" spans="1:6" ht="15" customHeight="1" thickBot="1" x14ac:dyDescent="0.35">
      <c r="A228" s="767" t="s">
        <v>348</v>
      </c>
      <c r="B228" s="768"/>
      <c r="C228" s="768"/>
      <c r="D228" s="768"/>
      <c r="E228" s="768"/>
      <c r="F228" s="586"/>
    </row>
    <row r="229" spans="1:6" ht="15" customHeight="1" x14ac:dyDescent="0.3">
      <c r="A229" s="65"/>
      <c r="B229" s="113"/>
      <c r="C229" s="60"/>
      <c r="D229" s="218"/>
      <c r="E229" s="80"/>
      <c r="F229" s="119"/>
    </row>
    <row r="230" spans="1:6" ht="15" customHeight="1" x14ac:dyDescent="0.3">
      <c r="A230" s="58" t="s">
        <v>349</v>
      </c>
      <c r="B230" s="99" t="s">
        <v>350</v>
      </c>
      <c r="C230" s="4"/>
      <c r="D230" s="24"/>
      <c r="E230" s="174"/>
      <c r="F230" s="98"/>
    </row>
    <row r="231" spans="1:6" ht="15" customHeight="1" x14ac:dyDescent="0.3">
      <c r="A231" s="65"/>
      <c r="B231" s="113"/>
      <c r="C231" s="60"/>
      <c r="D231" s="218"/>
      <c r="E231" s="80"/>
      <c r="F231" s="119"/>
    </row>
    <row r="232" spans="1:6" ht="15" customHeight="1" x14ac:dyDescent="0.3">
      <c r="A232" s="64" t="s">
        <v>32</v>
      </c>
      <c r="B232" s="111" t="s">
        <v>354</v>
      </c>
      <c r="C232" s="60"/>
      <c r="D232" s="218"/>
      <c r="E232" s="80"/>
      <c r="F232" s="119"/>
    </row>
    <row r="233" spans="1:6" ht="15" customHeight="1" x14ac:dyDescent="0.3">
      <c r="A233" s="64" t="s">
        <v>41</v>
      </c>
      <c r="B233" s="127" t="s">
        <v>355</v>
      </c>
      <c r="C233" s="60"/>
      <c r="D233" s="131"/>
      <c r="E233" s="80"/>
      <c r="F233" s="119"/>
    </row>
    <row r="234" spans="1:6" ht="24.9" customHeight="1" x14ac:dyDescent="0.3">
      <c r="A234" s="66" t="s">
        <v>356</v>
      </c>
      <c r="B234" s="69" t="s">
        <v>426</v>
      </c>
      <c r="C234" s="62" t="s">
        <v>18</v>
      </c>
      <c r="D234" s="70">
        <v>1</v>
      </c>
      <c r="E234" s="383"/>
      <c r="F234" s="591"/>
    </row>
    <row r="235" spans="1:6" ht="24.9" customHeight="1" x14ac:dyDescent="0.3">
      <c r="A235" s="66" t="s">
        <v>357</v>
      </c>
      <c r="B235" s="69" t="s">
        <v>362</v>
      </c>
      <c r="C235" s="62" t="s">
        <v>18</v>
      </c>
      <c r="D235" s="70">
        <f>1+1</f>
        <v>2</v>
      </c>
      <c r="E235" s="383"/>
      <c r="F235" s="591"/>
    </row>
    <row r="236" spans="1:6" ht="24.9" customHeight="1" x14ac:dyDescent="0.3">
      <c r="A236" s="66" t="s">
        <v>427</v>
      </c>
      <c r="B236" s="69" t="s">
        <v>363</v>
      </c>
      <c r="C236" s="60" t="s">
        <v>18</v>
      </c>
      <c r="D236" s="131">
        <f>1+1</f>
        <v>2</v>
      </c>
      <c r="E236" s="393"/>
      <c r="F236" s="591"/>
    </row>
    <row r="237" spans="1:6" ht="15" customHeight="1" x14ac:dyDescent="0.3">
      <c r="A237" s="64" t="s">
        <v>33</v>
      </c>
      <c r="B237" s="127" t="s">
        <v>358</v>
      </c>
      <c r="C237" s="60" t="s">
        <v>6</v>
      </c>
      <c r="D237" s="219"/>
      <c r="E237" s="393"/>
      <c r="F237" s="591"/>
    </row>
    <row r="238" spans="1:6" ht="24.9" customHeight="1" x14ac:dyDescent="0.3">
      <c r="A238" s="66" t="s">
        <v>359</v>
      </c>
      <c r="B238" s="69" t="s">
        <v>353</v>
      </c>
      <c r="C238" s="62" t="s">
        <v>18</v>
      </c>
      <c r="D238" s="70">
        <v>5</v>
      </c>
      <c r="E238" s="383"/>
      <c r="F238" s="591"/>
    </row>
    <row r="239" spans="1:6" ht="24.9" customHeight="1" x14ac:dyDescent="0.3">
      <c r="A239" s="66" t="s">
        <v>360</v>
      </c>
      <c r="B239" s="69" t="s">
        <v>352</v>
      </c>
      <c r="C239" s="62" t="s">
        <v>18</v>
      </c>
      <c r="D239" s="70">
        <v>1</v>
      </c>
      <c r="E239" s="383"/>
      <c r="F239" s="591"/>
    </row>
    <row r="240" spans="1:6" ht="24.9" customHeight="1" x14ac:dyDescent="0.3">
      <c r="A240" s="66" t="s">
        <v>361</v>
      </c>
      <c r="B240" s="69" t="s">
        <v>351</v>
      </c>
      <c r="C240" s="62" t="s">
        <v>18</v>
      </c>
      <c r="D240" s="70">
        <v>2</v>
      </c>
      <c r="E240" s="383"/>
      <c r="F240" s="591"/>
    </row>
    <row r="241" spans="1:6" ht="15" customHeight="1" x14ac:dyDescent="0.3">
      <c r="A241" s="64" t="s">
        <v>34</v>
      </c>
      <c r="B241" s="111" t="s">
        <v>50</v>
      </c>
      <c r="C241" s="60"/>
      <c r="D241" s="131"/>
      <c r="E241" s="393"/>
      <c r="F241" s="591"/>
    </row>
    <row r="242" spans="1:6" ht="24.9" customHeight="1" x14ac:dyDescent="0.3">
      <c r="A242" s="65" t="s">
        <v>68</v>
      </c>
      <c r="B242" s="69" t="s">
        <v>364</v>
      </c>
      <c r="C242" s="163" t="s">
        <v>131</v>
      </c>
      <c r="D242" s="70">
        <f>2*2.8</f>
        <v>5.6</v>
      </c>
      <c r="E242" s="383"/>
      <c r="F242" s="591"/>
    </row>
    <row r="243" spans="1:6" ht="15" customHeight="1" thickBot="1" x14ac:dyDescent="0.35">
      <c r="A243" s="23"/>
      <c r="B243" s="137"/>
      <c r="C243" s="30"/>
      <c r="D243" s="138"/>
      <c r="E243" s="27"/>
      <c r="F243" s="35"/>
    </row>
    <row r="244" spans="1:6" ht="15" customHeight="1" thickBot="1" x14ac:dyDescent="0.35">
      <c r="A244" s="767" t="s">
        <v>366</v>
      </c>
      <c r="B244" s="768"/>
      <c r="C244" s="768"/>
      <c r="D244" s="768"/>
      <c r="E244" s="768"/>
      <c r="F244" s="586"/>
    </row>
    <row r="245" spans="1:6" ht="15" customHeight="1" x14ac:dyDescent="0.3">
      <c r="A245" s="20"/>
      <c r="B245" s="15"/>
      <c r="C245" s="4"/>
      <c r="D245" s="220"/>
      <c r="E245" s="9"/>
      <c r="F245" s="7"/>
    </row>
    <row r="246" spans="1:6" ht="15" customHeight="1" x14ac:dyDescent="0.3">
      <c r="A246" s="58" t="s">
        <v>367</v>
      </c>
      <c r="B246" s="99" t="s">
        <v>368</v>
      </c>
      <c r="C246" s="4"/>
      <c r="D246" s="24"/>
      <c r="E246" s="174"/>
      <c r="F246" s="98"/>
    </row>
    <row r="247" spans="1:6" ht="15" customHeight="1" x14ac:dyDescent="0.3">
      <c r="A247" s="20"/>
      <c r="B247" s="15"/>
      <c r="C247" s="4"/>
      <c r="D247" s="220"/>
      <c r="E247" s="9"/>
      <c r="F247" s="7"/>
    </row>
    <row r="248" spans="1:6" ht="15" customHeight="1" x14ac:dyDescent="0.3">
      <c r="A248" s="64" t="s">
        <v>64</v>
      </c>
      <c r="B248" s="111" t="s">
        <v>369</v>
      </c>
      <c r="C248" s="60"/>
      <c r="D248" s="218"/>
      <c r="E248" s="80"/>
      <c r="F248" s="119"/>
    </row>
    <row r="249" spans="1:6" ht="24.9" customHeight="1" x14ac:dyDescent="0.3">
      <c r="A249" s="66" t="s">
        <v>65</v>
      </c>
      <c r="B249" s="69" t="s">
        <v>370</v>
      </c>
      <c r="C249" s="163" t="s">
        <v>131</v>
      </c>
      <c r="D249" s="70">
        <f>+D221</f>
        <v>43.07</v>
      </c>
      <c r="E249" s="383"/>
      <c r="F249" s="591"/>
    </row>
    <row r="250" spans="1:6" ht="15" customHeight="1" x14ac:dyDescent="0.3">
      <c r="A250" s="64" t="s">
        <v>66</v>
      </c>
      <c r="B250" s="111" t="s">
        <v>704</v>
      </c>
      <c r="C250" s="60"/>
      <c r="D250" s="131"/>
      <c r="E250" s="393"/>
      <c r="F250" s="591"/>
    </row>
    <row r="251" spans="1:6" ht="24.9" customHeight="1" x14ac:dyDescent="0.3">
      <c r="A251" s="66" t="s">
        <v>67</v>
      </c>
      <c r="B251" s="69" t="s">
        <v>707</v>
      </c>
      <c r="C251" s="163" t="s">
        <v>131</v>
      </c>
      <c r="D251" s="70">
        <f>(4*5.89+2*6.78)*0.6</f>
        <v>22.271999999999998</v>
      </c>
      <c r="E251" s="383"/>
      <c r="F251" s="591"/>
    </row>
    <row r="252" spans="1:6" ht="15" customHeight="1" thickBot="1" x14ac:dyDescent="0.35">
      <c r="A252" s="64"/>
      <c r="B252" s="111"/>
      <c r="C252" s="60"/>
      <c r="D252" s="218"/>
      <c r="E252" s="80"/>
      <c r="F252" s="119"/>
    </row>
    <row r="253" spans="1:6" ht="15" customHeight="1" thickBot="1" x14ac:dyDescent="0.35">
      <c r="A253" s="767" t="s">
        <v>371</v>
      </c>
      <c r="B253" s="768"/>
      <c r="C253" s="768"/>
      <c r="D253" s="768"/>
      <c r="E253" s="768"/>
      <c r="F253" s="586"/>
    </row>
    <row r="254" spans="1:6" ht="15" customHeight="1" x14ac:dyDescent="0.3">
      <c r="A254" s="64"/>
      <c r="B254" s="111"/>
      <c r="C254" s="60"/>
      <c r="D254" s="218"/>
      <c r="E254" s="80"/>
      <c r="F254" s="119"/>
    </row>
    <row r="255" spans="1:6" ht="15" customHeight="1" x14ac:dyDescent="0.3">
      <c r="A255" s="58" t="s">
        <v>372</v>
      </c>
      <c r="B255" s="99" t="s">
        <v>373</v>
      </c>
      <c r="C255" s="4"/>
      <c r="D255" s="24"/>
      <c r="E255" s="174"/>
      <c r="F255" s="98"/>
    </row>
    <row r="256" spans="1:6" ht="15" customHeight="1" x14ac:dyDescent="0.3">
      <c r="A256" s="64"/>
      <c r="B256" s="111"/>
      <c r="C256" s="60"/>
      <c r="D256" s="218"/>
      <c r="E256" s="80"/>
      <c r="F256" s="119"/>
    </row>
    <row r="257" spans="1:6" ht="15" customHeight="1" x14ac:dyDescent="0.3">
      <c r="A257" s="64" t="s">
        <v>35</v>
      </c>
      <c r="B257" s="111" t="s">
        <v>374</v>
      </c>
      <c r="C257" s="60" t="s">
        <v>6</v>
      </c>
      <c r="D257" s="131"/>
      <c r="E257" s="80"/>
      <c r="F257" s="119"/>
    </row>
    <row r="258" spans="1:6" ht="15" customHeight="1" x14ac:dyDescent="0.3">
      <c r="A258" s="64" t="s">
        <v>56</v>
      </c>
      <c r="B258" s="127" t="s">
        <v>376</v>
      </c>
      <c r="C258" s="60"/>
      <c r="D258" s="131"/>
      <c r="E258" s="80"/>
      <c r="F258" s="119"/>
    </row>
    <row r="259" spans="1:6" ht="15" customHeight="1" x14ac:dyDescent="0.3">
      <c r="A259" s="65" t="s">
        <v>377</v>
      </c>
      <c r="B259" s="113" t="s">
        <v>375</v>
      </c>
      <c r="C259" s="163" t="s">
        <v>131</v>
      </c>
      <c r="D259" s="131">
        <f>+D71+D72</f>
        <v>278.11599999999999</v>
      </c>
      <c r="E259" s="393"/>
      <c r="F259" s="591"/>
    </row>
    <row r="260" spans="1:6" ht="15" customHeight="1" x14ac:dyDescent="0.3">
      <c r="A260" s="64" t="s">
        <v>36</v>
      </c>
      <c r="B260" s="111" t="s">
        <v>378</v>
      </c>
      <c r="C260" s="60"/>
      <c r="D260" s="131"/>
      <c r="E260" s="393"/>
      <c r="F260" s="591"/>
    </row>
    <row r="261" spans="1:6" ht="15" customHeight="1" x14ac:dyDescent="0.3">
      <c r="A261" s="64" t="s">
        <v>59</v>
      </c>
      <c r="B261" s="127" t="s">
        <v>379</v>
      </c>
      <c r="C261" s="60"/>
      <c r="D261" s="131"/>
      <c r="E261" s="393"/>
      <c r="F261" s="591"/>
    </row>
    <row r="262" spans="1:6" ht="15" customHeight="1" x14ac:dyDescent="0.3">
      <c r="A262" s="65" t="s">
        <v>380</v>
      </c>
      <c r="B262" s="113" t="s">
        <v>383</v>
      </c>
      <c r="C262" s="163" t="s">
        <v>131</v>
      </c>
      <c r="D262" s="131">
        <f>+D72+2*6.4*0.6</f>
        <v>187.96600000000001</v>
      </c>
      <c r="E262" s="393"/>
      <c r="F262" s="591"/>
    </row>
    <row r="263" spans="1:6" ht="15" customHeight="1" x14ac:dyDescent="0.3">
      <c r="A263" s="64" t="s">
        <v>60</v>
      </c>
      <c r="B263" s="127" t="s">
        <v>382</v>
      </c>
      <c r="C263" s="60"/>
      <c r="D263" s="131"/>
      <c r="E263" s="393"/>
      <c r="F263" s="591"/>
    </row>
    <row r="264" spans="1:6" ht="15" customHeight="1" x14ac:dyDescent="0.3">
      <c r="A264" s="65" t="s">
        <v>381</v>
      </c>
      <c r="B264" s="113" t="s">
        <v>384</v>
      </c>
      <c r="C264" s="163" t="s">
        <v>131</v>
      </c>
      <c r="D264" s="131">
        <f>+D71</f>
        <v>97.83</v>
      </c>
      <c r="E264" s="393"/>
      <c r="F264" s="591"/>
    </row>
    <row r="265" spans="1:6" ht="15" customHeight="1" x14ac:dyDescent="0.3">
      <c r="A265" s="64" t="s">
        <v>43</v>
      </c>
      <c r="B265" s="111" t="s">
        <v>385</v>
      </c>
      <c r="C265" s="60"/>
      <c r="D265" s="131"/>
      <c r="E265" s="393"/>
      <c r="F265" s="591"/>
    </row>
    <row r="266" spans="1:6" ht="15" customHeight="1" x14ac:dyDescent="0.3">
      <c r="A266" s="64" t="s">
        <v>61</v>
      </c>
      <c r="B266" s="127" t="s">
        <v>431</v>
      </c>
      <c r="C266" s="60"/>
      <c r="D266" s="131"/>
      <c r="E266" s="393"/>
      <c r="F266" s="591"/>
    </row>
    <row r="267" spans="1:6" ht="15" customHeight="1" x14ac:dyDescent="0.3">
      <c r="A267" s="66" t="s">
        <v>390</v>
      </c>
      <c r="B267" s="69" t="s">
        <v>384</v>
      </c>
      <c r="C267" s="163" t="s">
        <v>131</v>
      </c>
      <c r="D267" s="70">
        <f>2.2*2*(1+2*0.9+2*0.8)+2*(0.03*2*1.14)+0.54*4*0.18*2+2*(0.03*5*2.34)+1.14*4*0.18*5+2*(0.03*2.14)+0.94*4*0.18</f>
        <v>25.885600000000004</v>
      </c>
      <c r="E267" s="383"/>
      <c r="F267" s="591"/>
    </row>
    <row r="268" spans="1:6" ht="15" customHeight="1" x14ac:dyDescent="0.3">
      <c r="A268" s="82" t="s">
        <v>62</v>
      </c>
      <c r="B268" s="130" t="s">
        <v>392</v>
      </c>
      <c r="C268" s="62"/>
      <c r="D268" s="70"/>
      <c r="E268" s="383"/>
      <c r="F268" s="591"/>
    </row>
    <row r="269" spans="1:6" ht="15" customHeight="1" x14ac:dyDescent="0.3">
      <c r="A269" s="66" t="s">
        <v>391</v>
      </c>
      <c r="B269" s="69" t="s">
        <v>383</v>
      </c>
      <c r="C269" s="163" t="s">
        <v>131</v>
      </c>
      <c r="D269" s="70">
        <f>+D249+D251+(4*5.89+2*6.78)*0.3</f>
        <v>76.477999999999994</v>
      </c>
      <c r="E269" s="383"/>
      <c r="F269" s="591"/>
    </row>
    <row r="270" spans="1:6" ht="15" customHeight="1" x14ac:dyDescent="0.3">
      <c r="A270" s="64" t="s">
        <v>63</v>
      </c>
      <c r="B270" s="127" t="s">
        <v>388</v>
      </c>
      <c r="C270" s="60"/>
      <c r="D270" s="131"/>
      <c r="E270" s="393"/>
      <c r="F270" s="591"/>
    </row>
    <row r="271" spans="1:6" ht="15" customHeight="1" x14ac:dyDescent="0.3">
      <c r="A271" s="65" t="s">
        <v>394</v>
      </c>
      <c r="B271" s="69" t="s">
        <v>683</v>
      </c>
      <c r="C271" s="163" t="s">
        <v>131</v>
      </c>
      <c r="D271" s="131">
        <f>+D99+D100+D101</f>
        <v>12.759999999999998</v>
      </c>
      <c r="E271" s="393"/>
      <c r="F271" s="591"/>
    </row>
    <row r="272" spans="1:6" s="613" customFormat="1" ht="15" customHeight="1" x14ac:dyDescent="0.3">
      <c r="A272" s="65" t="s">
        <v>603</v>
      </c>
      <c r="B272" s="69" t="s">
        <v>686</v>
      </c>
      <c r="C272" s="163" t="s">
        <v>131</v>
      </c>
      <c r="D272" s="392">
        <f>+D271</f>
        <v>12.759999999999998</v>
      </c>
      <c r="E272" s="393"/>
      <c r="F272" s="591"/>
    </row>
    <row r="273" spans="1:6" s="504" customFormat="1" ht="15" customHeight="1" x14ac:dyDescent="0.3">
      <c r="A273" s="396" t="s">
        <v>487</v>
      </c>
      <c r="B273" s="111" t="s">
        <v>232</v>
      </c>
      <c r="C273" s="60"/>
      <c r="D273" s="392"/>
      <c r="E273" s="393"/>
      <c r="F273" s="591"/>
    </row>
    <row r="274" spans="1:6" s="504" customFormat="1" ht="24.9" customHeight="1" x14ac:dyDescent="0.3">
      <c r="A274" s="410" t="s">
        <v>488</v>
      </c>
      <c r="B274" s="69" t="s">
        <v>713</v>
      </c>
      <c r="C274" s="62" t="s">
        <v>54</v>
      </c>
      <c r="D274" s="387">
        <v>1</v>
      </c>
      <c r="E274" s="383"/>
      <c r="F274" s="591"/>
    </row>
    <row r="275" spans="1:6" ht="15" customHeight="1" thickBot="1" x14ac:dyDescent="0.35">
      <c r="A275" s="77"/>
      <c r="B275" s="81"/>
      <c r="C275" s="139"/>
      <c r="D275" s="206"/>
      <c r="E275" s="207"/>
      <c r="F275" s="121"/>
    </row>
    <row r="276" spans="1:6" ht="15" customHeight="1" thickBot="1" x14ac:dyDescent="0.35">
      <c r="A276" s="767" t="s">
        <v>395</v>
      </c>
      <c r="B276" s="768"/>
      <c r="C276" s="768"/>
      <c r="D276" s="768"/>
      <c r="E276" s="768"/>
      <c r="F276" s="586"/>
    </row>
    <row r="277" spans="1:6" ht="15" customHeight="1" x14ac:dyDescent="0.3">
      <c r="A277" s="140"/>
      <c r="B277" s="141"/>
      <c r="C277" s="141"/>
      <c r="D277" s="141"/>
      <c r="E277" s="141"/>
      <c r="F277" s="118"/>
    </row>
    <row r="278" spans="1:6" ht="15" customHeight="1" x14ac:dyDescent="0.3">
      <c r="A278" s="58" t="s">
        <v>396</v>
      </c>
      <c r="B278" s="99" t="s">
        <v>397</v>
      </c>
      <c r="C278" s="4"/>
      <c r="D278" s="24"/>
      <c r="E278" s="174"/>
      <c r="F278" s="98"/>
    </row>
    <row r="279" spans="1:6" ht="15" customHeight="1" x14ac:dyDescent="0.3">
      <c r="A279" s="64"/>
      <c r="B279" s="111"/>
      <c r="C279" s="60"/>
      <c r="D279" s="218"/>
      <c r="E279" s="80"/>
      <c r="F279" s="119"/>
    </row>
    <row r="280" spans="1:6" ht="15" customHeight="1" x14ac:dyDescent="0.3">
      <c r="A280" s="64" t="s">
        <v>400</v>
      </c>
      <c r="B280" s="111" t="s">
        <v>398</v>
      </c>
      <c r="C280" s="60" t="s">
        <v>6</v>
      </c>
      <c r="D280" s="131"/>
      <c r="E280" s="80"/>
      <c r="F280" s="119"/>
    </row>
    <row r="281" spans="1:6" ht="15" customHeight="1" x14ac:dyDescent="0.3">
      <c r="A281" s="64" t="s">
        <v>401</v>
      </c>
      <c r="B281" s="127" t="s">
        <v>399</v>
      </c>
      <c r="C281" s="60"/>
      <c r="D281" s="131"/>
      <c r="E281" s="80"/>
      <c r="F281" s="119"/>
    </row>
    <row r="282" spans="1:6" ht="24.9" customHeight="1" x14ac:dyDescent="0.3">
      <c r="A282" s="66" t="s">
        <v>402</v>
      </c>
      <c r="B282" s="69" t="s">
        <v>730</v>
      </c>
      <c r="C282" s="163" t="s">
        <v>137</v>
      </c>
      <c r="D282" s="70">
        <f>0.15*0.1*12*6.78</f>
        <v>1.2203999999999999</v>
      </c>
      <c r="E282" s="383"/>
      <c r="F282" s="591"/>
    </row>
    <row r="283" spans="1:6" ht="15" customHeight="1" x14ac:dyDescent="0.3">
      <c r="A283" s="65" t="s">
        <v>403</v>
      </c>
      <c r="B283" s="69" t="s">
        <v>716</v>
      </c>
      <c r="C283" s="62" t="s">
        <v>15</v>
      </c>
      <c r="D283" s="70">
        <f>4*5.89+2*6.78</f>
        <v>37.119999999999997</v>
      </c>
      <c r="E283" s="383"/>
      <c r="F283" s="591"/>
    </row>
    <row r="284" spans="1:6" ht="15" customHeight="1" thickBot="1" x14ac:dyDescent="0.35">
      <c r="A284" s="68"/>
      <c r="B284" s="132"/>
      <c r="C284" s="142"/>
      <c r="D284" s="221"/>
      <c r="E284" s="222"/>
      <c r="F284" s="143"/>
    </row>
    <row r="285" spans="1:6" ht="15" customHeight="1" thickBot="1" x14ac:dyDescent="0.35">
      <c r="A285" s="767" t="s">
        <v>404</v>
      </c>
      <c r="B285" s="768"/>
      <c r="C285" s="768"/>
      <c r="D285" s="768"/>
      <c r="E285" s="768"/>
      <c r="F285" s="586"/>
    </row>
    <row r="286" spans="1:6" ht="15" customHeight="1" x14ac:dyDescent="0.3">
      <c r="A286" s="140"/>
      <c r="B286" s="141"/>
      <c r="C286" s="141"/>
      <c r="D286" s="141"/>
      <c r="E286" s="141"/>
      <c r="F286" s="118"/>
    </row>
    <row r="287" spans="1:6" ht="15" customHeight="1" x14ac:dyDescent="0.3">
      <c r="A287" s="58" t="s">
        <v>405</v>
      </c>
      <c r="B287" s="99" t="s">
        <v>408</v>
      </c>
      <c r="C287" s="4"/>
      <c r="D287" s="24"/>
      <c r="E287" s="223"/>
      <c r="F287" s="469"/>
    </row>
    <row r="288" spans="1:6" ht="15" customHeight="1" x14ac:dyDescent="0.3">
      <c r="A288" s="64"/>
      <c r="B288" s="111"/>
      <c r="C288" s="60"/>
      <c r="D288" s="218"/>
      <c r="E288" s="80"/>
      <c r="F288" s="119"/>
    </row>
    <row r="289" spans="1:6" ht="15" customHeight="1" x14ac:dyDescent="0.3">
      <c r="A289" s="64" t="s">
        <v>46</v>
      </c>
      <c r="B289" s="111" t="s">
        <v>409</v>
      </c>
      <c r="C289" s="60" t="s">
        <v>6</v>
      </c>
      <c r="D289" s="131"/>
      <c r="E289" s="80"/>
      <c r="F289" s="119"/>
    </row>
    <row r="290" spans="1:6" ht="15" customHeight="1" x14ac:dyDescent="0.3">
      <c r="A290" s="64" t="s">
        <v>55</v>
      </c>
      <c r="B290" s="127" t="s">
        <v>538</v>
      </c>
      <c r="C290" s="60"/>
      <c r="D290" s="131"/>
      <c r="E290" s="80"/>
      <c r="F290" s="119"/>
    </row>
    <row r="291" spans="1:6" ht="15" customHeight="1" x14ac:dyDescent="0.3">
      <c r="A291" s="66" t="s">
        <v>406</v>
      </c>
      <c r="B291" s="69" t="s">
        <v>433</v>
      </c>
      <c r="C291" s="163" t="s">
        <v>131</v>
      </c>
      <c r="D291" s="70">
        <f>2*(6.1*6.78)</f>
        <v>82.715999999999994</v>
      </c>
      <c r="E291" s="383"/>
      <c r="F291" s="591"/>
    </row>
    <row r="292" spans="1:6" ht="15" customHeight="1" x14ac:dyDescent="0.3">
      <c r="A292" s="65" t="s">
        <v>407</v>
      </c>
      <c r="B292" s="69" t="s">
        <v>434</v>
      </c>
      <c r="C292" s="62" t="s">
        <v>15</v>
      </c>
      <c r="D292" s="70">
        <v>6.78</v>
      </c>
      <c r="E292" s="383"/>
      <c r="F292" s="591"/>
    </row>
    <row r="293" spans="1:6" ht="15" customHeight="1" thickBot="1" x14ac:dyDescent="0.35">
      <c r="A293" s="68"/>
      <c r="B293" s="132"/>
      <c r="C293" s="142"/>
      <c r="D293" s="221"/>
      <c r="E293" s="222"/>
      <c r="F293" s="143"/>
    </row>
    <row r="294" spans="1:6" ht="15" customHeight="1" thickBot="1" x14ac:dyDescent="0.35">
      <c r="A294" s="767" t="s">
        <v>410</v>
      </c>
      <c r="B294" s="768"/>
      <c r="C294" s="768"/>
      <c r="D294" s="768"/>
      <c r="E294" s="768"/>
      <c r="F294" s="586"/>
    </row>
    <row r="295" spans="1:6" ht="15" customHeight="1" thickBot="1" x14ac:dyDescent="0.35">
      <c r="A295" s="31"/>
      <c r="B295" s="144"/>
      <c r="C295" s="13"/>
      <c r="D295" s="145"/>
      <c r="E295" s="14"/>
      <c r="F295" s="146"/>
    </row>
    <row r="296" spans="1:6" ht="24.9" customHeight="1" thickTop="1" thickBot="1" x14ac:dyDescent="0.35">
      <c r="A296" s="802" t="s">
        <v>689</v>
      </c>
      <c r="B296" s="803"/>
      <c r="C296" s="803"/>
      <c r="D296" s="803"/>
      <c r="E296" s="804"/>
      <c r="F296" s="805"/>
    </row>
    <row r="297" spans="1:6" ht="15" customHeight="1" thickTop="1" x14ac:dyDescent="0.3">
      <c r="A297" s="22"/>
      <c r="B297" s="1"/>
      <c r="C297" s="1"/>
      <c r="D297" s="1"/>
      <c r="E297" s="1"/>
      <c r="F297" s="1"/>
    </row>
    <row r="298" spans="1:6" ht="15" customHeight="1" thickBot="1" x14ac:dyDescent="0.35">
      <c r="A298" s="22"/>
      <c r="B298" s="1"/>
      <c r="C298" s="1"/>
      <c r="D298" s="1"/>
      <c r="E298" s="1"/>
      <c r="F298" s="1"/>
    </row>
    <row r="299" spans="1:6" ht="30" customHeight="1" x14ac:dyDescent="0.3">
      <c r="A299" s="775" t="s">
        <v>706</v>
      </c>
      <c r="B299" s="776"/>
      <c r="C299" s="776"/>
      <c r="D299" s="776"/>
      <c r="E299" s="776"/>
      <c r="F299" s="777"/>
    </row>
    <row r="300" spans="1:6" ht="15" customHeight="1" thickBot="1" x14ac:dyDescent="0.35">
      <c r="A300" s="149"/>
      <c r="B300" s="150"/>
      <c r="C300" s="150"/>
      <c r="D300" s="150"/>
      <c r="E300" s="150"/>
      <c r="F300" s="151"/>
    </row>
    <row r="301" spans="1:6" ht="24.9" customHeight="1" thickTop="1" thickBot="1" x14ac:dyDescent="0.35">
      <c r="A301" s="153" t="s">
        <v>38</v>
      </c>
      <c r="B301" s="778" t="s">
        <v>39</v>
      </c>
      <c r="C301" s="778"/>
      <c r="D301" s="778"/>
      <c r="E301" s="778" t="s">
        <v>411</v>
      </c>
      <c r="F301" s="787"/>
    </row>
    <row r="302" spans="1:6" ht="15" customHeight="1" thickTop="1" x14ac:dyDescent="0.3">
      <c r="A302" s="152"/>
      <c r="B302" s="779"/>
      <c r="C302" s="779"/>
      <c r="D302" s="779"/>
      <c r="E302" s="788"/>
      <c r="F302" s="789"/>
    </row>
    <row r="303" spans="1:6" ht="15" customHeight="1" x14ac:dyDescent="0.3">
      <c r="A303" s="224" t="s">
        <v>143</v>
      </c>
      <c r="B303" s="773" t="s">
        <v>95</v>
      </c>
      <c r="C303" s="773"/>
      <c r="D303" s="773"/>
      <c r="E303" s="800"/>
      <c r="F303" s="801"/>
    </row>
    <row r="304" spans="1:6" ht="15" customHeight="1" x14ac:dyDescent="0.3">
      <c r="A304" s="225" t="s">
        <v>144</v>
      </c>
      <c r="B304" s="774" t="s">
        <v>100</v>
      </c>
      <c r="C304" s="774"/>
      <c r="D304" s="774"/>
      <c r="E304" s="806"/>
      <c r="F304" s="807"/>
    </row>
    <row r="305" spans="1:6" ht="15" customHeight="1" x14ac:dyDescent="0.3">
      <c r="A305" s="226" t="s">
        <v>136</v>
      </c>
      <c r="B305" s="808" t="s">
        <v>103</v>
      </c>
      <c r="C305" s="808"/>
      <c r="D305" s="808"/>
      <c r="E305" s="809"/>
      <c r="F305" s="810"/>
    </row>
    <row r="306" spans="1:6" ht="15" customHeight="1" x14ac:dyDescent="0.3">
      <c r="A306" s="226" t="s">
        <v>176</v>
      </c>
      <c r="B306" s="808" t="s">
        <v>177</v>
      </c>
      <c r="C306" s="808"/>
      <c r="D306" s="808"/>
      <c r="E306" s="809"/>
      <c r="F306" s="810"/>
    </row>
    <row r="307" spans="1:6" ht="15" customHeight="1" x14ac:dyDescent="0.3">
      <c r="A307" s="226" t="s">
        <v>182</v>
      </c>
      <c r="B307" s="808" t="s">
        <v>656</v>
      </c>
      <c r="C307" s="808"/>
      <c r="D307" s="808"/>
      <c r="E307" s="809"/>
      <c r="F307" s="810"/>
    </row>
    <row r="308" spans="1:6" ht="15" customHeight="1" x14ac:dyDescent="0.3">
      <c r="A308" s="226" t="s">
        <v>183</v>
      </c>
      <c r="B308" s="808" t="s">
        <v>184</v>
      </c>
      <c r="C308" s="808"/>
      <c r="D308" s="808"/>
      <c r="E308" s="809"/>
      <c r="F308" s="810"/>
    </row>
    <row r="309" spans="1:6" ht="15" customHeight="1" x14ac:dyDescent="0.3">
      <c r="A309" s="226" t="s">
        <v>195</v>
      </c>
      <c r="B309" s="808" t="s">
        <v>196</v>
      </c>
      <c r="C309" s="808"/>
      <c r="D309" s="808"/>
      <c r="E309" s="809"/>
      <c r="F309" s="810"/>
    </row>
    <row r="310" spans="1:6" ht="15" customHeight="1" x14ac:dyDescent="0.3">
      <c r="A310" s="226" t="s">
        <v>226</v>
      </c>
      <c r="B310" s="808" t="s">
        <v>227</v>
      </c>
      <c r="C310" s="808"/>
      <c r="D310" s="808"/>
      <c r="E310" s="809"/>
      <c r="F310" s="810"/>
    </row>
    <row r="311" spans="1:6" ht="15" customHeight="1" x14ac:dyDescent="0.3">
      <c r="A311" s="226" t="s">
        <v>249</v>
      </c>
      <c r="B311" s="808" t="s">
        <v>250</v>
      </c>
      <c r="C311" s="808"/>
      <c r="D311" s="808"/>
      <c r="E311" s="809"/>
      <c r="F311" s="810"/>
    </row>
    <row r="312" spans="1:6" ht="15" customHeight="1" x14ac:dyDescent="0.3">
      <c r="A312" s="226" t="s">
        <v>292</v>
      </c>
      <c r="B312" s="808" t="s">
        <v>293</v>
      </c>
      <c r="C312" s="808"/>
      <c r="D312" s="808"/>
      <c r="E312" s="809"/>
      <c r="F312" s="810"/>
    </row>
    <row r="313" spans="1:6" ht="15" customHeight="1" x14ac:dyDescent="0.3">
      <c r="A313" s="226" t="s">
        <v>309</v>
      </c>
      <c r="B313" s="808" t="s">
        <v>310</v>
      </c>
      <c r="C313" s="808"/>
      <c r="D313" s="808"/>
      <c r="E313" s="809"/>
      <c r="F313" s="810"/>
    </row>
    <row r="314" spans="1:6" ht="15" customHeight="1" x14ac:dyDescent="0.3">
      <c r="A314" s="226" t="s">
        <v>327</v>
      </c>
      <c r="B314" s="808" t="s">
        <v>328</v>
      </c>
      <c r="C314" s="808"/>
      <c r="D314" s="808"/>
      <c r="E314" s="809"/>
      <c r="F314" s="810"/>
    </row>
    <row r="315" spans="1:6" ht="15" customHeight="1" x14ac:dyDescent="0.3">
      <c r="A315" s="226" t="s">
        <v>334</v>
      </c>
      <c r="B315" s="808" t="s">
        <v>335</v>
      </c>
      <c r="C315" s="808"/>
      <c r="D315" s="808"/>
      <c r="E315" s="809"/>
      <c r="F315" s="810"/>
    </row>
    <row r="316" spans="1:6" ht="15" customHeight="1" x14ac:dyDescent="0.3">
      <c r="A316" s="226" t="s">
        <v>349</v>
      </c>
      <c r="B316" s="808" t="s">
        <v>350</v>
      </c>
      <c r="C316" s="808"/>
      <c r="D316" s="808"/>
      <c r="E316" s="809"/>
      <c r="F316" s="810"/>
    </row>
    <row r="317" spans="1:6" ht="15" customHeight="1" x14ac:dyDescent="0.3">
      <c r="A317" s="226" t="s">
        <v>367</v>
      </c>
      <c r="B317" s="808" t="s">
        <v>368</v>
      </c>
      <c r="C317" s="808"/>
      <c r="D317" s="808"/>
      <c r="E317" s="809"/>
      <c r="F317" s="810"/>
    </row>
    <row r="318" spans="1:6" ht="15" customHeight="1" x14ac:dyDescent="0.3">
      <c r="A318" s="226" t="s">
        <v>372</v>
      </c>
      <c r="B318" s="808" t="s">
        <v>373</v>
      </c>
      <c r="C318" s="808"/>
      <c r="D318" s="808"/>
      <c r="E318" s="809"/>
      <c r="F318" s="810"/>
    </row>
    <row r="319" spans="1:6" ht="15" customHeight="1" x14ac:dyDescent="0.3">
      <c r="A319" s="226" t="s">
        <v>396</v>
      </c>
      <c r="B319" s="808" t="s">
        <v>397</v>
      </c>
      <c r="C319" s="808"/>
      <c r="D319" s="808"/>
      <c r="E319" s="809"/>
      <c r="F319" s="810"/>
    </row>
    <row r="320" spans="1:6" ht="15" customHeight="1" x14ac:dyDescent="0.3">
      <c r="A320" s="226" t="s">
        <v>405</v>
      </c>
      <c r="B320" s="808" t="s">
        <v>408</v>
      </c>
      <c r="C320" s="808"/>
      <c r="D320" s="808"/>
      <c r="E320" s="809"/>
      <c r="F320" s="810"/>
    </row>
    <row r="321" spans="1:6" ht="15" customHeight="1" thickBot="1" x14ac:dyDescent="0.35">
      <c r="A321" s="159"/>
      <c r="B321" s="815"/>
      <c r="C321" s="815"/>
      <c r="D321" s="815"/>
      <c r="E321" s="816"/>
      <c r="F321" s="817"/>
    </row>
    <row r="322" spans="1:6" ht="24.9" customHeight="1" thickTop="1" thickBot="1" x14ac:dyDescent="0.35">
      <c r="A322" s="811" t="s">
        <v>689</v>
      </c>
      <c r="B322" s="812"/>
      <c r="C322" s="812"/>
      <c r="D322" s="812"/>
      <c r="E322" s="813"/>
      <c r="F322" s="814"/>
    </row>
    <row r="323" spans="1:6" ht="15" customHeight="1" thickTop="1" x14ac:dyDescent="0.3">
      <c r="A323" s="22"/>
      <c r="B323" s="1"/>
      <c r="C323" s="1"/>
      <c r="D323" s="1"/>
      <c r="E323" s="1"/>
      <c r="F323" s="1"/>
    </row>
  </sheetData>
  <mergeCells count="69">
    <mergeCell ref="A322:D322"/>
    <mergeCell ref="E322:F322"/>
    <mergeCell ref="B319:D319"/>
    <mergeCell ref="E319:F319"/>
    <mergeCell ref="B320:D320"/>
    <mergeCell ref="E320:F320"/>
    <mergeCell ref="B321:D321"/>
    <mergeCell ref="E321:F321"/>
    <mergeCell ref="B316:D316"/>
    <mergeCell ref="E316:F316"/>
    <mergeCell ref="B317:D317"/>
    <mergeCell ref="E317:F317"/>
    <mergeCell ref="B318:D318"/>
    <mergeCell ref="E318:F318"/>
    <mergeCell ref="B313:D313"/>
    <mergeCell ref="E313:F313"/>
    <mergeCell ref="B314:D314"/>
    <mergeCell ref="E314:F314"/>
    <mergeCell ref="B315:D315"/>
    <mergeCell ref="E315:F315"/>
    <mergeCell ref="B310:D310"/>
    <mergeCell ref="E310:F310"/>
    <mergeCell ref="B311:D311"/>
    <mergeCell ref="E311:F311"/>
    <mergeCell ref="B312:D312"/>
    <mergeCell ref="E312:F312"/>
    <mergeCell ref="B307:D307"/>
    <mergeCell ref="E307:F307"/>
    <mergeCell ref="B308:D308"/>
    <mergeCell ref="E308:F308"/>
    <mergeCell ref="B309:D309"/>
    <mergeCell ref="E309:F309"/>
    <mergeCell ref="B304:D304"/>
    <mergeCell ref="E304:F304"/>
    <mergeCell ref="B305:D305"/>
    <mergeCell ref="E305:F305"/>
    <mergeCell ref="B306:D306"/>
    <mergeCell ref="E306:F306"/>
    <mergeCell ref="B303:D303"/>
    <mergeCell ref="E303:F303"/>
    <mergeCell ref="A253:E253"/>
    <mergeCell ref="A276:E276"/>
    <mergeCell ref="A285:E285"/>
    <mergeCell ref="A294:E294"/>
    <mergeCell ref="A296:D296"/>
    <mergeCell ref="E296:F296"/>
    <mergeCell ref="A299:F299"/>
    <mergeCell ref="B301:D301"/>
    <mergeCell ref="E301:F301"/>
    <mergeCell ref="B302:D302"/>
    <mergeCell ref="E302:F302"/>
    <mergeCell ref="A244:E244"/>
    <mergeCell ref="A79:E79"/>
    <mergeCell ref="A87:E87"/>
    <mergeCell ref="A94:E94"/>
    <mergeCell ref="A103:E103"/>
    <mergeCell ref="A131:E131"/>
    <mergeCell ref="A147:E147"/>
    <mergeCell ref="A181:E181"/>
    <mergeCell ref="A193:E193"/>
    <mergeCell ref="A207:E207"/>
    <mergeCell ref="A215:E215"/>
    <mergeCell ref="A228:E228"/>
    <mergeCell ref="A77:E77"/>
    <mergeCell ref="A2:F2"/>
    <mergeCell ref="A3:F3"/>
    <mergeCell ref="A13:E13"/>
    <mergeCell ref="A29:E29"/>
    <mergeCell ref="A52:E52"/>
  </mergeCells>
  <printOptions horizontalCentered="1"/>
  <pageMargins left="0" right="0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23"/>
  <sheetViews>
    <sheetView tabSelected="1" workbookViewId="0">
      <selection activeCell="B5" sqref="B5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766" t="s">
        <v>550</v>
      </c>
      <c r="B2" s="766"/>
      <c r="C2" s="766"/>
      <c r="D2" s="766"/>
      <c r="E2" s="766"/>
      <c r="F2" s="766"/>
    </row>
    <row r="3" spans="1:6" ht="15.6" x14ac:dyDescent="0.3">
      <c r="A3" s="766" t="s">
        <v>551</v>
      </c>
      <c r="B3" s="766"/>
      <c r="C3" s="766"/>
      <c r="D3" s="766"/>
      <c r="E3" s="766"/>
      <c r="F3" s="766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ht="15" customHeight="1" x14ac:dyDescent="0.3">
      <c r="A9" s="42" t="s">
        <v>96</v>
      </c>
      <c r="B9" s="91" t="s">
        <v>88</v>
      </c>
      <c r="C9" s="50"/>
      <c r="D9" s="92"/>
      <c r="E9" s="51"/>
      <c r="F9" s="93"/>
    </row>
    <row r="10" spans="1:6" ht="15" customHeight="1" x14ac:dyDescent="0.3">
      <c r="A10" s="43" t="s">
        <v>97</v>
      </c>
      <c r="B10" s="94" t="s">
        <v>99</v>
      </c>
      <c r="C10" s="161" t="s">
        <v>412</v>
      </c>
      <c r="D10" s="164">
        <f>10.74*6*1.2</f>
        <v>77.327999999999989</v>
      </c>
      <c r="E10" s="602"/>
      <c r="F10" s="603"/>
    </row>
    <row r="11" spans="1:6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602"/>
      <c r="F11" s="603"/>
    </row>
    <row r="12" spans="1:6" ht="15" customHeight="1" thickBot="1" x14ac:dyDescent="0.35">
      <c r="A12" s="42"/>
      <c r="B12" s="95"/>
      <c r="C12" s="50"/>
      <c r="D12" s="92"/>
      <c r="E12" s="602"/>
      <c r="F12" s="603"/>
    </row>
    <row r="13" spans="1:6" ht="15" customHeight="1" thickBot="1" x14ac:dyDescent="0.35">
      <c r="A13" s="767" t="s">
        <v>189</v>
      </c>
      <c r="B13" s="768"/>
      <c r="C13" s="768"/>
      <c r="D13" s="768"/>
      <c r="E13" s="768"/>
      <c r="F13" s="586"/>
    </row>
    <row r="14" spans="1:6" ht="15" customHeight="1" x14ac:dyDescent="0.3">
      <c r="A14" s="42"/>
      <c r="B14" s="95"/>
      <c r="C14" s="50"/>
      <c r="D14" s="92"/>
      <c r="E14" s="51"/>
      <c r="F14" s="93"/>
    </row>
    <row r="15" spans="1:6" ht="15" customHeight="1" x14ac:dyDescent="0.3">
      <c r="A15" s="57" t="s">
        <v>144</v>
      </c>
      <c r="B15" s="96" t="s">
        <v>100</v>
      </c>
      <c r="C15" s="50"/>
      <c r="D15" s="164"/>
      <c r="E15" s="51"/>
      <c r="F15" s="93"/>
    </row>
    <row r="16" spans="1:6" ht="15" customHeight="1" x14ac:dyDescent="0.3">
      <c r="A16" s="42"/>
      <c r="B16" s="95"/>
      <c r="C16" s="50"/>
      <c r="D16" s="164"/>
      <c r="E16" s="51"/>
      <c r="F16" s="93"/>
    </row>
    <row r="17" spans="1:6" ht="15" customHeight="1" x14ac:dyDescent="0.3">
      <c r="A17" s="42" t="s">
        <v>101</v>
      </c>
      <c r="B17" s="97" t="s">
        <v>540</v>
      </c>
      <c r="C17" s="50"/>
      <c r="D17" s="164"/>
      <c r="E17" s="51"/>
      <c r="F17" s="93"/>
    </row>
    <row r="18" spans="1:6" ht="15" customHeight="1" x14ac:dyDescent="0.3">
      <c r="A18" s="481" t="s">
        <v>102</v>
      </c>
      <c r="B18" s="94" t="s">
        <v>541</v>
      </c>
      <c r="C18" s="161" t="s">
        <v>18</v>
      </c>
      <c r="D18" s="164">
        <v>1</v>
      </c>
      <c r="E18" s="602"/>
      <c r="F18" s="603"/>
    </row>
    <row r="19" spans="1:6" ht="15" customHeight="1" x14ac:dyDescent="0.3">
      <c r="A19" s="481" t="s">
        <v>543</v>
      </c>
      <c r="B19" s="94" t="s">
        <v>542</v>
      </c>
      <c r="C19" s="161" t="s">
        <v>18</v>
      </c>
      <c r="D19" s="164">
        <v>1</v>
      </c>
      <c r="E19" s="602"/>
      <c r="F19" s="603"/>
    </row>
    <row r="20" spans="1:6" ht="15" customHeight="1" x14ac:dyDescent="0.3">
      <c r="A20" s="481" t="s">
        <v>472</v>
      </c>
      <c r="B20" s="94" t="s">
        <v>544</v>
      </c>
      <c r="C20" s="161" t="s">
        <v>412</v>
      </c>
      <c r="D20" s="164">
        <f>15.74*11</f>
        <v>173.14000000000001</v>
      </c>
      <c r="E20" s="602"/>
      <c r="F20" s="603"/>
    </row>
    <row r="21" spans="1:6" ht="15" customHeight="1" x14ac:dyDescent="0.3">
      <c r="A21" s="481" t="s">
        <v>545</v>
      </c>
      <c r="B21" s="94" t="s">
        <v>652</v>
      </c>
      <c r="C21" s="161" t="s">
        <v>412</v>
      </c>
      <c r="D21" s="164">
        <v>64.41</v>
      </c>
      <c r="E21" s="602"/>
      <c r="F21" s="603"/>
    </row>
    <row r="22" spans="1:6" ht="15" customHeight="1" x14ac:dyDescent="0.3">
      <c r="A22" s="44" t="s">
        <v>105</v>
      </c>
      <c r="B22" s="97" t="s">
        <v>110</v>
      </c>
      <c r="C22" s="162"/>
      <c r="D22" s="164"/>
      <c r="E22" s="602"/>
      <c r="F22" s="603"/>
    </row>
    <row r="23" spans="1:6" ht="15" customHeight="1" x14ac:dyDescent="0.3">
      <c r="A23" s="43" t="s">
        <v>109</v>
      </c>
      <c r="B23" s="94" t="s">
        <v>106</v>
      </c>
      <c r="C23" s="161" t="s">
        <v>413</v>
      </c>
      <c r="D23" s="164">
        <f>+(6*4+1.1*2+4.06+3.18*2+2.68*2+0.78+3.72+3.18)*0.8</f>
        <v>39.728000000000002</v>
      </c>
      <c r="E23" s="602"/>
      <c r="F23" s="603"/>
    </row>
    <row r="24" spans="1:6" ht="15" customHeight="1" x14ac:dyDescent="0.3">
      <c r="A24" s="44" t="s">
        <v>546</v>
      </c>
      <c r="B24" s="97" t="s">
        <v>111</v>
      </c>
      <c r="C24" s="162"/>
      <c r="D24" s="164"/>
      <c r="E24" s="602"/>
      <c r="F24" s="603"/>
    </row>
    <row r="25" spans="1:6" ht="15" customHeight="1" x14ac:dyDescent="0.3">
      <c r="A25" s="43" t="s">
        <v>547</v>
      </c>
      <c r="B25" s="94" t="s">
        <v>107</v>
      </c>
      <c r="C25" s="161" t="s">
        <v>413</v>
      </c>
      <c r="D25" s="164">
        <f>+D23-49.66*0.3</f>
        <v>24.830000000000005</v>
      </c>
      <c r="E25" s="602"/>
      <c r="F25" s="603"/>
    </row>
    <row r="26" spans="1:6" ht="15" customHeight="1" x14ac:dyDescent="0.3">
      <c r="A26" s="43" t="s">
        <v>548</v>
      </c>
      <c r="B26" s="94" t="s">
        <v>112</v>
      </c>
      <c r="C26" s="161" t="s">
        <v>413</v>
      </c>
      <c r="D26" s="164">
        <f>57.08*0.3</f>
        <v>17.123999999999999</v>
      </c>
      <c r="E26" s="602"/>
      <c r="F26" s="603"/>
    </row>
    <row r="27" spans="1:6" ht="15" customHeight="1" x14ac:dyDescent="0.3">
      <c r="A27" s="43" t="s">
        <v>549</v>
      </c>
      <c r="B27" s="94" t="s">
        <v>108</v>
      </c>
      <c r="C27" s="161" t="s">
        <v>412</v>
      </c>
      <c r="D27" s="164">
        <v>57.08</v>
      </c>
      <c r="E27" s="602"/>
      <c r="F27" s="603"/>
    </row>
    <row r="28" spans="1:6" ht="15" customHeight="1" thickBot="1" x14ac:dyDescent="0.35">
      <c r="A28" s="43"/>
      <c r="B28" s="94"/>
      <c r="C28" s="50"/>
      <c r="D28" s="164"/>
      <c r="E28" s="602"/>
      <c r="F28" s="93"/>
    </row>
    <row r="29" spans="1:6" ht="15" customHeight="1" thickBot="1" x14ac:dyDescent="0.35">
      <c r="A29" s="767" t="s">
        <v>190</v>
      </c>
      <c r="B29" s="768"/>
      <c r="C29" s="768"/>
      <c r="D29" s="768"/>
      <c r="E29" s="768"/>
      <c r="F29" s="586"/>
    </row>
    <row r="30" spans="1:6" ht="15" customHeight="1" x14ac:dyDescent="0.3">
      <c r="A30" s="170"/>
      <c r="B30" s="171"/>
      <c r="C30" s="172"/>
      <c r="D30" s="173"/>
      <c r="E30" s="174"/>
      <c r="F30" s="98"/>
    </row>
    <row r="31" spans="1:6" ht="15" customHeight="1" x14ac:dyDescent="0.3">
      <c r="A31" s="58" t="s">
        <v>136</v>
      </c>
      <c r="B31" s="99" t="s">
        <v>103</v>
      </c>
      <c r="C31" s="4"/>
      <c r="D31" s="24"/>
      <c r="E31" s="174"/>
      <c r="F31" s="98"/>
    </row>
    <row r="32" spans="1:6" ht="15" customHeight="1" x14ac:dyDescent="0.3">
      <c r="A32" s="20"/>
      <c r="B32" s="100"/>
      <c r="C32" s="4"/>
      <c r="D32" s="24"/>
      <c r="E32" s="174"/>
      <c r="F32" s="98"/>
    </row>
    <row r="33" spans="1:6" ht="15" customHeight="1" x14ac:dyDescent="0.3">
      <c r="A33" s="147" t="s">
        <v>4</v>
      </c>
      <c r="B33" s="175" t="s">
        <v>113</v>
      </c>
      <c r="C33" s="176"/>
      <c r="D33" s="177"/>
      <c r="E33" s="178"/>
      <c r="F33" s="101"/>
    </row>
    <row r="34" spans="1:6" ht="15" customHeight="1" x14ac:dyDescent="0.3">
      <c r="A34" s="147" t="s">
        <v>5</v>
      </c>
      <c r="B34" s="179" t="s">
        <v>114</v>
      </c>
      <c r="C34" s="163" t="s">
        <v>137</v>
      </c>
      <c r="D34" s="180">
        <f>49.66*0.05*0.6</f>
        <v>1.4898</v>
      </c>
      <c r="E34" s="181"/>
      <c r="F34" s="106"/>
    </row>
    <row r="35" spans="1:6" ht="15" customHeight="1" x14ac:dyDescent="0.3">
      <c r="A35" s="147" t="s">
        <v>9</v>
      </c>
      <c r="B35" s="179" t="s">
        <v>121</v>
      </c>
      <c r="C35" s="163"/>
      <c r="D35" s="182"/>
      <c r="E35" s="181"/>
      <c r="F35" s="106"/>
    </row>
    <row r="36" spans="1:6" ht="15" customHeight="1" x14ac:dyDescent="0.3">
      <c r="A36" s="148" t="s">
        <v>115</v>
      </c>
      <c r="B36" s="183" t="s">
        <v>138</v>
      </c>
      <c r="C36" s="163" t="s">
        <v>137</v>
      </c>
      <c r="D36" s="180">
        <f>49.66*0.25*0.6</f>
        <v>7.448999999999999</v>
      </c>
      <c r="E36" s="181"/>
      <c r="F36" s="106"/>
    </row>
    <row r="37" spans="1:6" ht="15" customHeight="1" x14ac:dyDescent="0.3">
      <c r="A37" s="148" t="s">
        <v>116</v>
      </c>
      <c r="B37" s="183" t="s">
        <v>657</v>
      </c>
      <c r="C37" s="163" t="s">
        <v>117</v>
      </c>
      <c r="D37" s="180">
        <f>4*49.66*0.394+249*0.76*0.222</f>
        <v>120.27544</v>
      </c>
      <c r="E37" s="181"/>
      <c r="F37" s="106"/>
    </row>
    <row r="38" spans="1:6" ht="15" customHeight="1" x14ac:dyDescent="0.3">
      <c r="A38" s="147" t="s">
        <v>120</v>
      </c>
      <c r="B38" s="179" t="s">
        <v>416</v>
      </c>
      <c r="C38" s="163"/>
      <c r="D38" s="180"/>
      <c r="E38" s="181"/>
      <c r="F38" s="106"/>
    </row>
    <row r="39" spans="1:6" ht="15" customHeight="1" x14ac:dyDescent="0.3">
      <c r="A39" s="148" t="s">
        <v>122</v>
      </c>
      <c r="B39" s="183" t="s">
        <v>138</v>
      </c>
      <c r="C39" s="163" t="s">
        <v>137</v>
      </c>
      <c r="D39" s="180">
        <f>0.8*(12*0.15*0.15+3*0.3*0.15+0.25*0.15+0.3*0.15+0.15*0.15)</f>
        <v>0.40799999999999992</v>
      </c>
      <c r="E39" s="181"/>
      <c r="F39" s="106"/>
    </row>
    <row r="40" spans="1:6" ht="15" customHeight="1" x14ac:dyDescent="0.3">
      <c r="A40" s="148" t="s">
        <v>123</v>
      </c>
      <c r="B40" s="183" t="s">
        <v>657</v>
      </c>
      <c r="C40" s="163" t="s">
        <v>117</v>
      </c>
      <c r="D40" s="184">
        <f>0.8*(12*4*0.616+3*(4*0.616+2*0.394)+4*0.616+2*0.394+6*0.616+2*0.394)</f>
        <v>37.647999999999989</v>
      </c>
      <c r="E40" s="181"/>
      <c r="F40" s="106"/>
    </row>
    <row r="41" spans="1:6" ht="15" customHeight="1" x14ac:dyDescent="0.3">
      <c r="A41" s="148" t="s">
        <v>124</v>
      </c>
      <c r="B41" s="183" t="s">
        <v>118</v>
      </c>
      <c r="C41" s="163" t="s">
        <v>119</v>
      </c>
      <c r="D41" s="180">
        <f>0.8*(23*0.15+3*0.3+2*0.25)*1.1</f>
        <v>4.2679999999999998</v>
      </c>
      <c r="E41" s="181"/>
      <c r="F41" s="106"/>
    </row>
    <row r="42" spans="1:6" ht="15" customHeight="1" x14ac:dyDescent="0.3">
      <c r="A42" s="147" t="s">
        <v>125</v>
      </c>
      <c r="B42" s="179" t="s">
        <v>133</v>
      </c>
      <c r="C42" s="185"/>
      <c r="D42" s="185"/>
      <c r="E42" s="185"/>
      <c r="F42" s="106"/>
    </row>
    <row r="43" spans="1:6" ht="15" customHeight="1" x14ac:dyDescent="0.3">
      <c r="A43" s="148" t="s">
        <v>126</v>
      </c>
      <c r="B43" s="183" t="s">
        <v>139</v>
      </c>
      <c r="C43" s="163" t="s">
        <v>131</v>
      </c>
      <c r="D43" s="180">
        <f>49.66*0.6*1.1</f>
        <v>32.775599999999997</v>
      </c>
      <c r="E43" s="181"/>
      <c r="F43" s="106"/>
    </row>
    <row r="44" spans="1:6" ht="15" customHeight="1" x14ac:dyDescent="0.3">
      <c r="A44" s="147" t="s">
        <v>127</v>
      </c>
      <c r="B44" s="179" t="s">
        <v>140</v>
      </c>
      <c r="C44" s="163"/>
      <c r="D44" s="180"/>
      <c r="E44" s="181"/>
      <c r="F44" s="106"/>
    </row>
    <row r="45" spans="1:6" ht="15" customHeight="1" x14ac:dyDescent="0.3">
      <c r="A45" s="148" t="s">
        <v>128</v>
      </c>
      <c r="B45" s="183" t="s">
        <v>141</v>
      </c>
      <c r="C45" s="163" t="s">
        <v>131</v>
      </c>
      <c r="D45" s="180">
        <v>57.08</v>
      </c>
      <c r="E45" s="181"/>
      <c r="F45" s="106"/>
    </row>
    <row r="46" spans="1:6" ht="15" customHeight="1" x14ac:dyDescent="0.3">
      <c r="A46" s="148" t="s">
        <v>129</v>
      </c>
      <c r="B46" s="183" t="s">
        <v>135</v>
      </c>
      <c r="C46" s="163" t="s">
        <v>131</v>
      </c>
      <c r="D46" s="180">
        <f>+D45</f>
        <v>57.08</v>
      </c>
      <c r="E46" s="181"/>
      <c r="F46" s="106"/>
    </row>
    <row r="47" spans="1:6" ht="15" customHeight="1" x14ac:dyDescent="0.3">
      <c r="A47" s="148" t="s">
        <v>130</v>
      </c>
      <c r="B47" s="183" t="s">
        <v>118</v>
      </c>
      <c r="C47" s="163" t="s">
        <v>131</v>
      </c>
      <c r="D47" s="180">
        <f>49.66*0.2</f>
        <v>9.9320000000000004</v>
      </c>
      <c r="E47" s="181"/>
      <c r="F47" s="106"/>
    </row>
    <row r="48" spans="1:6" ht="15" customHeight="1" x14ac:dyDescent="0.3">
      <c r="A48" s="147" t="s">
        <v>132</v>
      </c>
      <c r="B48" s="179" t="s">
        <v>179</v>
      </c>
      <c r="C48" s="163"/>
      <c r="D48" s="180"/>
      <c r="E48" s="181"/>
      <c r="F48" s="106"/>
    </row>
    <row r="49" spans="1:6" ht="15" customHeight="1" x14ac:dyDescent="0.3">
      <c r="A49" s="148" t="s">
        <v>134</v>
      </c>
      <c r="B49" s="183" t="s">
        <v>180</v>
      </c>
      <c r="C49" s="163" t="s">
        <v>131</v>
      </c>
      <c r="D49" s="180">
        <f>57.08-(2.5+2.5)</f>
        <v>52.08</v>
      </c>
      <c r="E49" s="181"/>
      <c r="F49" s="106"/>
    </row>
    <row r="50" spans="1:6" ht="15" customHeight="1" x14ac:dyDescent="0.3">
      <c r="A50" s="148" t="s">
        <v>660</v>
      </c>
      <c r="B50" s="183" t="s">
        <v>662</v>
      </c>
      <c r="C50" s="163" t="s">
        <v>131</v>
      </c>
      <c r="D50" s="180">
        <f>2.5*2</f>
        <v>5</v>
      </c>
      <c r="E50" s="181"/>
      <c r="F50" s="106"/>
    </row>
    <row r="51" spans="1:6" ht="15" customHeight="1" thickBot="1" x14ac:dyDescent="0.35">
      <c r="A51" s="188"/>
      <c r="B51" s="103"/>
      <c r="C51" s="189"/>
      <c r="D51" s="190"/>
      <c r="E51" s="181"/>
      <c r="F51" s="102"/>
    </row>
    <row r="52" spans="1:6" ht="15" customHeight="1" thickBot="1" x14ac:dyDescent="0.35">
      <c r="A52" s="767" t="s">
        <v>146</v>
      </c>
      <c r="B52" s="768"/>
      <c r="C52" s="768"/>
      <c r="D52" s="768"/>
      <c r="E52" s="768"/>
      <c r="F52" s="609"/>
    </row>
    <row r="53" spans="1:6" ht="15" customHeight="1" x14ac:dyDescent="0.3">
      <c r="A53" s="20"/>
      <c r="B53" s="100"/>
      <c r="C53" s="4"/>
      <c r="D53" s="24"/>
      <c r="E53" s="174"/>
      <c r="F53" s="98"/>
    </row>
    <row r="54" spans="1:6" ht="15" customHeight="1" x14ac:dyDescent="0.3">
      <c r="A54" s="147" t="s">
        <v>10</v>
      </c>
      <c r="B54" s="175" t="s">
        <v>167</v>
      </c>
      <c r="C54" s="176"/>
      <c r="D54" s="191"/>
      <c r="E54" s="192"/>
      <c r="F54" s="104"/>
    </row>
    <row r="55" spans="1:6" ht="15" customHeight="1" x14ac:dyDescent="0.3">
      <c r="A55" s="147" t="s">
        <v>11</v>
      </c>
      <c r="B55" s="179" t="s">
        <v>168</v>
      </c>
      <c r="C55" s="176"/>
      <c r="D55" s="191"/>
      <c r="E55" s="192"/>
      <c r="F55" s="104"/>
    </row>
    <row r="56" spans="1:6" ht="15" customHeight="1" x14ac:dyDescent="0.3">
      <c r="A56" s="148" t="s">
        <v>147</v>
      </c>
      <c r="B56" s="183" t="s">
        <v>138</v>
      </c>
      <c r="C56" s="163" t="s">
        <v>137</v>
      </c>
      <c r="D56" s="182">
        <f>3*0.3*0.15*3+3*(0.15*0.15+0.15*0.1)*3.38+(0.25*0.15+3*0.15*0.15)*4.11+(3*0.15*0.15+0.3*0.15)*3.9+3*(4*0.15*0.15+2*0.15*0.1)+(3.74+4.11+3.6+3.32+3.61+3.9+3.52*2)*0.15*0.1</f>
        <v>2.4553499999999997</v>
      </c>
      <c r="E56" s="187"/>
      <c r="F56" s="105"/>
    </row>
    <row r="57" spans="1:6" ht="15" customHeight="1" x14ac:dyDescent="0.3">
      <c r="A57" s="148" t="s">
        <v>148</v>
      </c>
      <c r="B57" s="183" t="s">
        <v>658</v>
      </c>
      <c r="C57" s="163" t="s">
        <v>84</v>
      </c>
      <c r="D57" s="193">
        <v>248.49</v>
      </c>
      <c r="E57" s="187"/>
      <c r="F57" s="105"/>
    </row>
    <row r="58" spans="1:6" ht="15" customHeight="1" x14ac:dyDescent="0.3">
      <c r="A58" s="148" t="s">
        <v>149</v>
      </c>
      <c r="B58" s="183" t="s">
        <v>118</v>
      </c>
      <c r="C58" s="163" t="s">
        <v>131</v>
      </c>
      <c r="D58" s="182">
        <v>25.62</v>
      </c>
      <c r="E58" s="187"/>
      <c r="F58" s="105"/>
    </row>
    <row r="59" spans="1:6" ht="15" customHeight="1" x14ac:dyDescent="0.3">
      <c r="A59" s="147" t="s">
        <v>12</v>
      </c>
      <c r="B59" s="179" t="s">
        <v>169</v>
      </c>
      <c r="C59" s="163"/>
      <c r="D59" s="182"/>
      <c r="E59" s="187"/>
      <c r="F59" s="105"/>
    </row>
    <row r="60" spans="1:6" ht="15" customHeight="1" x14ac:dyDescent="0.3">
      <c r="A60" s="148" t="s">
        <v>150</v>
      </c>
      <c r="B60" s="183" t="s">
        <v>138</v>
      </c>
      <c r="C60" s="163" t="s">
        <v>137</v>
      </c>
      <c r="D60" s="182">
        <f>49.66*0.2*0.15+5.36*0.2*0.1</f>
        <v>1.597</v>
      </c>
      <c r="E60" s="187"/>
      <c r="F60" s="105"/>
    </row>
    <row r="61" spans="1:6" ht="15" customHeight="1" x14ac:dyDescent="0.3">
      <c r="A61" s="148" t="s">
        <v>151</v>
      </c>
      <c r="B61" s="183" t="s">
        <v>658</v>
      </c>
      <c r="C61" s="163" t="s">
        <v>84</v>
      </c>
      <c r="D61" s="193">
        <v>115.51</v>
      </c>
      <c r="E61" s="187"/>
      <c r="F61" s="105"/>
    </row>
    <row r="62" spans="1:6" ht="15" customHeight="1" x14ac:dyDescent="0.3">
      <c r="A62" s="148" t="s">
        <v>152</v>
      </c>
      <c r="B62" s="183" t="s">
        <v>118</v>
      </c>
      <c r="C62" s="163" t="s">
        <v>131</v>
      </c>
      <c r="D62" s="182">
        <f>+(49.66+5.36)*2*0.2*1.1</f>
        <v>24.2088</v>
      </c>
      <c r="E62" s="187"/>
      <c r="F62" s="105"/>
    </row>
    <row r="63" spans="1:6" ht="15" customHeight="1" x14ac:dyDescent="0.3">
      <c r="A63" s="147" t="s">
        <v>13</v>
      </c>
      <c r="B63" s="179" t="s">
        <v>663</v>
      </c>
      <c r="C63" s="163"/>
      <c r="D63" s="182"/>
      <c r="E63" s="187"/>
      <c r="F63" s="105"/>
    </row>
    <row r="64" spans="1:6" ht="15" customHeight="1" x14ac:dyDescent="0.3">
      <c r="A64" s="148" t="s">
        <v>153</v>
      </c>
      <c r="B64" s="194" t="s">
        <v>138</v>
      </c>
      <c r="C64" s="163" t="s">
        <v>137</v>
      </c>
      <c r="D64" s="182">
        <f>1.68*0.4</f>
        <v>0.67200000000000004</v>
      </c>
      <c r="E64" s="187"/>
      <c r="F64" s="105"/>
    </row>
    <row r="65" spans="1:6" ht="15" customHeight="1" x14ac:dyDescent="0.3">
      <c r="A65" s="148" t="s">
        <v>154</v>
      </c>
      <c r="B65" s="194" t="s">
        <v>658</v>
      </c>
      <c r="C65" s="163" t="s">
        <v>84</v>
      </c>
      <c r="D65" s="193">
        <f>+D64*60</f>
        <v>40.32</v>
      </c>
      <c r="E65" s="187"/>
      <c r="F65" s="105"/>
    </row>
    <row r="66" spans="1:6" ht="15" customHeight="1" x14ac:dyDescent="0.3">
      <c r="A66" s="148" t="s">
        <v>155</v>
      </c>
      <c r="B66" s="194" t="s">
        <v>118</v>
      </c>
      <c r="C66" s="163" t="s">
        <v>131</v>
      </c>
      <c r="D66" s="182">
        <f>0.15*0.35*2+1.68*0.15</f>
        <v>0.35699999999999998</v>
      </c>
      <c r="E66" s="187"/>
      <c r="F66" s="105"/>
    </row>
    <row r="67" spans="1:6" ht="15" customHeight="1" x14ac:dyDescent="0.3">
      <c r="A67" s="147" t="s">
        <v>156</v>
      </c>
      <c r="B67" s="179" t="s">
        <v>667</v>
      </c>
      <c r="C67" s="163"/>
      <c r="D67" s="182"/>
      <c r="E67" s="187"/>
      <c r="F67" s="105"/>
    </row>
    <row r="68" spans="1:6" ht="15" customHeight="1" x14ac:dyDescent="0.3">
      <c r="A68" s="148" t="s">
        <v>157</v>
      </c>
      <c r="B68" s="183" t="s">
        <v>165</v>
      </c>
      <c r="C68" s="163" t="s">
        <v>131</v>
      </c>
      <c r="D68" s="180">
        <f>+(((12.28-1.44)+(4.22-0.95)+(11.85-1.44)+(4.46-3.31)+(17.19-0.36)+(15.29-3.59)+((36.87-(3.36+2*1.44+0.36+0.85+0.51+0.36+0.39+0.62+0.41+0.39+1.14+0.35+0.45)))))+(((13.03-(0.9*2.2))+3.72*4.15+((5.22*3.89-(0.9*2.2)))))</f>
        <v>123.8138</v>
      </c>
      <c r="E68" s="195"/>
      <c r="F68" s="105"/>
    </row>
    <row r="69" spans="1:6" ht="15" customHeight="1" x14ac:dyDescent="0.3">
      <c r="A69" s="148" t="s">
        <v>158</v>
      </c>
      <c r="B69" s="183" t="s">
        <v>166</v>
      </c>
      <c r="C69" s="163" t="s">
        <v>131</v>
      </c>
      <c r="D69" s="180">
        <f>+(2.13+0.73+2.4)*3-(2*0.7*2.2)</f>
        <v>12.7</v>
      </c>
      <c r="E69" s="181"/>
      <c r="F69" s="105"/>
    </row>
    <row r="70" spans="1:6" ht="15" customHeight="1" x14ac:dyDescent="0.3">
      <c r="A70" s="147" t="s">
        <v>159</v>
      </c>
      <c r="B70" s="179" t="s">
        <v>173</v>
      </c>
      <c r="C70" s="163"/>
      <c r="D70" s="180"/>
      <c r="E70" s="181"/>
      <c r="F70" s="105"/>
    </row>
    <row r="71" spans="1:6" ht="15" customHeight="1" x14ac:dyDescent="0.3">
      <c r="A71" s="148" t="s">
        <v>160</v>
      </c>
      <c r="B71" s="183" t="s">
        <v>673</v>
      </c>
      <c r="C71" s="163" t="s">
        <v>131</v>
      </c>
      <c r="D71" s="180">
        <f>+((36.87-(2*1.44+0.95+3.31))+(17.19-0.36)+(36.87-(2*1.44+3.31+0.36))+2*(17.19-2*6.8))+17.19-(0.9*2.2+1.44)</f>
        <v>97.83</v>
      </c>
      <c r="E71" s="181"/>
      <c r="F71" s="105"/>
    </row>
    <row r="72" spans="1:6" ht="15" customHeight="1" x14ac:dyDescent="0.3">
      <c r="A72" s="148" t="s">
        <v>161</v>
      </c>
      <c r="B72" s="183" t="s">
        <v>174</v>
      </c>
      <c r="C72" s="163" t="s">
        <v>131</v>
      </c>
      <c r="D72" s="180">
        <f>97.83-2*(17.19-(2*6.8))+2*((13.03-1.98)+(3.72*4.15)+(20.31-1.98))</f>
        <v>180.286</v>
      </c>
      <c r="E72" s="181"/>
      <c r="F72" s="105"/>
    </row>
    <row r="73" spans="1:6" s="18" customFormat="1" ht="24.9" customHeight="1" x14ac:dyDescent="0.3">
      <c r="A73" s="483" t="s">
        <v>170</v>
      </c>
      <c r="B73" s="183" t="s">
        <v>703</v>
      </c>
      <c r="C73" s="482" t="s">
        <v>131</v>
      </c>
      <c r="D73" s="484">
        <f>2*(6.4*3-1.76)</f>
        <v>34.880000000000003</v>
      </c>
      <c r="E73" s="485"/>
      <c r="F73" s="724"/>
    </row>
    <row r="74" spans="1:6" ht="15" customHeight="1" x14ac:dyDescent="0.3">
      <c r="A74" s="147" t="s">
        <v>162</v>
      </c>
      <c r="B74" s="179" t="s">
        <v>171</v>
      </c>
      <c r="C74" s="163"/>
      <c r="D74" s="180"/>
      <c r="E74" s="181"/>
      <c r="F74" s="105"/>
    </row>
    <row r="75" spans="1:6" ht="15" customHeight="1" x14ac:dyDescent="0.3">
      <c r="A75" s="148" t="s">
        <v>163</v>
      </c>
      <c r="B75" s="183" t="s">
        <v>172</v>
      </c>
      <c r="C75" s="163" t="s">
        <v>131</v>
      </c>
      <c r="D75" s="180">
        <v>1.2</v>
      </c>
      <c r="E75" s="181"/>
      <c r="F75" s="105"/>
    </row>
    <row r="76" spans="1:6" ht="15" customHeight="1" thickBot="1" x14ac:dyDescent="0.35">
      <c r="A76" s="196"/>
      <c r="B76" s="197"/>
      <c r="C76" s="198"/>
      <c r="D76" s="199"/>
      <c r="E76" s="200"/>
      <c r="F76" s="107"/>
    </row>
    <row r="77" spans="1:6" ht="15" customHeight="1" thickBot="1" x14ac:dyDescent="0.35">
      <c r="A77" s="767" t="s">
        <v>175</v>
      </c>
      <c r="B77" s="768"/>
      <c r="C77" s="768"/>
      <c r="D77" s="768"/>
      <c r="E77" s="768"/>
      <c r="F77" s="609"/>
    </row>
    <row r="78" spans="1:6" ht="15" customHeight="1" thickBot="1" x14ac:dyDescent="0.35">
      <c r="A78" s="34"/>
      <c r="B78" s="201"/>
      <c r="C78" s="202"/>
      <c r="D78" s="203"/>
      <c r="E78" s="204"/>
      <c r="F78" s="108"/>
    </row>
    <row r="79" spans="1:6" ht="15" customHeight="1" thickBot="1" x14ac:dyDescent="0.35">
      <c r="A79" s="767" t="s">
        <v>191</v>
      </c>
      <c r="B79" s="768"/>
      <c r="C79" s="768"/>
      <c r="D79" s="768"/>
      <c r="E79" s="768"/>
      <c r="F79" s="586"/>
    </row>
    <row r="80" spans="1:6" ht="15" customHeight="1" x14ac:dyDescent="0.3">
      <c r="A80" s="28"/>
      <c r="B80" s="109"/>
      <c r="C80" s="29"/>
      <c r="D80" s="205"/>
      <c r="E80" s="33"/>
      <c r="F80" s="110"/>
    </row>
    <row r="81" spans="1:6" ht="15" customHeight="1" x14ac:dyDescent="0.3">
      <c r="A81" s="58" t="s">
        <v>176</v>
      </c>
      <c r="B81" s="99" t="s">
        <v>177</v>
      </c>
      <c r="C81" s="4"/>
      <c r="D81" s="24"/>
      <c r="E81" s="174"/>
      <c r="F81" s="98"/>
    </row>
    <row r="82" spans="1:6" ht="15" customHeight="1" x14ac:dyDescent="0.3">
      <c r="A82" s="54"/>
      <c r="B82" s="167"/>
      <c r="C82" s="4"/>
      <c r="D82" s="24"/>
      <c r="E82" s="174"/>
      <c r="F82" s="98"/>
    </row>
    <row r="83" spans="1:6" ht="15" customHeight="1" x14ac:dyDescent="0.3">
      <c r="A83" s="54" t="s">
        <v>53</v>
      </c>
      <c r="B83" s="111" t="s">
        <v>732</v>
      </c>
      <c r="C83" s="60"/>
      <c r="D83" s="131"/>
      <c r="E83" s="80"/>
      <c r="F83" s="112"/>
    </row>
    <row r="84" spans="1:6" ht="24.9" customHeight="1" x14ac:dyDescent="0.3">
      <c r="A84" s="61" t="s">
        <v>82</v>
      </c>
      <c r="B84" s="69" t="s">
        <v>181</v>
      </c>
      <c r="C84" s="163" t="s">
        <v>131</v>
      </c>
      <c r="D84" s="70">
        <f>2*2.4</f>
        <v>4.8</v>
      </c>
      <c r="E84" s="393"/>
      <c r="F84" s="591"/>
    </row>
    <row r="85" spans="1:6" ht="15" customHeight="1" x14ac:dyDescent="0.3">
      <c r="A85" s="61" t="s">
        <v>178</v>
      </c>
      <c r="B85" s="113" t="s">
        <v>717</v>
      </c>
      <c r="C85" s="60" t="s">
        <v>15</v>
      </c>
      <c r="D85" s="131">
        <f>2*(6.4-0.8)</f>
        <v>11.200000000000001</v>
      </c>
      <c r="E85" s="393"/>
      <c r="F85" s="591"/>
    </row>
    <row r="86" spans="1:6" ht="15" customHeight="1" thickBot="1" x14ac:dyDescent="0.35">
      <c r="A86" s="76"/>
      <c r="B86" s="114"/>
      <c r="C86" s="63"/>
      <c r="D86" s="206"/>
      <c r="E86" s="207"/>
      <c r="F86" s="115"/>
    </row>
    <row r="87" spans="1:6" ht="15" customHeight="1" thickBot="1" x14ac:dyDescent="0.35">
      <c r="A87" s="767" t="s">
        <v>192</v>
      </c>
      <c r="B87" s="768"/>
      <c r="C87" s="768"/>
      <c r="D87" s="768"/>
      <c r="E87" s="768"/>
      <c r="F87" s="586"/>
    </row>
    <row r="88" spans="1:6" ht="15" customHeight="1" x14ac:dyDescent="0.3">
      <c r="A88" s="116"/>
      <c r="B88" s="117"/>
      <c r="C88" s="117"/>
      <c r="D88" s="117"/>
      <c r="E88" s="117"/>
      <c r="F88" s="118"/>
    </row>
    <row r="89" spans="1:6" ht="15" customHeight="1" x14ac:dyDescent="0.3">
      <c r="A89" s="58" t="s">
        <v>182</v>
      </c>
      <c r="B89" s="99" t="s">
        <v>656</v>
      </c>
      <c r="C89" s="4"/>
      <c r="D89" s="24"/>
      <c r="E89" s="174"/>
      <c r="F89" s="98"/>
    </row>
    <row r="90" spans="1:6" ht="15" customHeight="1" x14ac:dyDescent="0.3">
      <c r="A90" s="54"/>
      <c r="B90" s="167"/>
      <c r="C90" s="4"/>
      <c r="D90" s="24"/>
      <c r="E90" s="174"/>
      <c r="F90" s="98"/>
    </row>
    <row r="91" spans="1:6" ht="15" customHeight="1" x14ac:dyDescent="0.3">
      <c r="A91" s="64" t="s">
        <v>186</v>
      </c>
      <c r="B91" s="111" t="s">
        <v>188</v>
      </c>
      <c r="C91" s="60"/>
      <c r="D91" s="131"/>
      <c r="E91" s="80"/>
      <c r="F91" s="119"/>
    </row>
    <row r="92" spans="1:6" ht="15" customHeight="1" x14ac:dyDescent="0.3">
      <c r="A92" s="65" t="s">
        <v>187</v>
      </c>
      <c r="B92" s="69" t="s">
        <v>675</v>
      </c>
      <c r="C92" s="60" t="s">
        <v>15</v>
      </c>
      <c r="D92" s="131">
        <f>14*1*5+14*0.8+0.6*2*4</f>
        <v>86</v>
      </c>
      <c r="E92" s="393"/>
      <c r="F92" s="591"/>
    </row>
    <row r="93" spans="1:6" ht="15" customHeight="1" thickBot="1" x14ac:dyDescent="0.35">
      <c r="A93" s="23"/>
      <c r="B93" s="120"/>
      <c r="C93" s="25"/>
      <c r="D93" s="208"/>
      <c r="E93" s="27"/>
      <c r="F93" s="35"/>
    </row>
    <row r="94" spans="1:6" ht="15" customHeight="1" thickBot="1" x14ac:dyDescent="0.35">
      <c r="A94" s="767" t="s">
        <v>194</v>
      </c>
      <c r="B94" s="768"/>
      <c r="C94" s="768"/>
      <c r="D94" s="768"/>
      <c r="E94" s="768"/>
      <c r="F94" s="651"/>
    </row>
    <row r="95" spans="1:6" ht="15" customHeight="1" x14ac:dyDescent="0.3">
      <c r="A95" s="32"/>
      <c r="B95" s="26"/>
      <c r="C95" s="26"/>
      <c r="D95" s="26"/>
      <c r="E95" s="26"/>
      <c r="F95" s="98"/>
    </row>
    <row r="96" spans="1:6" ht="15" customHeight="1" x14ac:dyDescent="0.3">
      <c r="A96" s="58" t="s">
        <v>183</v>
      </c>
      <c r="B96" s="99" t="s">
        <v>184</v>
      </c>
      <c r="C96" s="4"/>
      <c r="D96" s="24"/>
      <c r="E96" s="174"/>
      <c r="F96" s="98"/>
    </row>
    <row r="97" spans="1:6" ht="15" customHeight="1" x14ac:dyDescent="0.3">
      <c r="A97" s="54"/>
      <c r="B97" s="167"/>
      <c r="C97" s="4"/>
      <c r="D97" s="24"/>
      <c r="E97" s="174"/>
      <c r="F97" s="98"/>
    </row>
    <row r="98" spans="1:6" ht="15" customHeight="1" x14ac:dyDescent="0.3">
      <c r="A98" s="64" t="s">
        <v>16</v>
      </c>
      <c r="B98" s="111" t="s">
        <v>185</v>
      </c>
      <c r="C98" s="60"/>
      <c r="D98" s="131"/>
      <c r="E98" s="80"/>
      <c r="F98" s="112"/>
    </row>
    <row r="99" spans="1:6" ht="15" customHeight="1" x14ac:dyDescent="0.3">
      <c r="A99" s="66" t="s">
        <v>17</v>
      </c>
      <c r="B99" s="69" t="s">
        <v>419</v>
      </c>
      <c r="C99" s="482" t="s">
        <v>131</v>
      </c>
      <c r="D99" s="70">
        <f>5*1.4*1.4</f>
        <v>9.7999999999999989</v>
      </c>
      <c r="E99" s="383"/>
      <c r="F99" s="591"/>
    </row>
    <row r="100" spans="1:6" ht="15" customHeight="1" x14ac:dyDescent="0.3">
      <c r="A100" s="65" t="s">
        <v>19</v>
      </c>
      <c r="B100" s="69" t="s">
        <v>420</v>
      </c>
      <c r="C100" s="163" t="s">
        <v>131</v>
      </c>
      <c r="D100" s="131">
        <f>1.2*1.4</f>
        <v>1.68</v>
      </c>
      <c r="E100" s="393"/>
      <c r="F100" s="591"/>
    </row>
    <row r="101" spans="1:6" ht="15" customHeight="1" x14ac:dyDescent="0.3">
      <c r="A101" s="65" t="s">
        <v>365</v>
      </c>
      <c r="B101" s="69" t="s">
        <v>421</v>
      </c>
      <c r="C101" s="163" t="s">
        <v>131</v>
      </c>
      <c r="D101" s="131">
        <f>0.8*0.8*2</f>
        <v>1.2800000000000002</v>
      </c>
      <c r="E101" s="393"/>
      <c r="F101" s="591"/>
    </row>
    <row r="102" spans="1:6" ht="15" customHeight="1" thickBot="1" x14ac:dyDescent="0.35">
      <c r="A102" s="77"/>
      <c r="B102" s="114"/>
      <c r="C102" s="63"/>
      <c r="D102" s="206"/>
      <c r="E102" s="207"/>
      <c r="F102" s="121"/>
    </row>
    <row r="103" spans="1:6" ht="15" customHeight="1" thickBot="1" x14ac:dyDescent="0.35">
      <c r="A103" s="767" t="s">
        <v>193</v>
      </c>
      <c r="B103" s="768"/>
      <c r="C103" s="768"/>
      <c r="D103" s="768"/>
      <c r="E103" s="768"/>
      <c r="F103" s="586"/>
    </row>
    <row r="104" spans="1:6" ht="15" customHeight="1" x14ac:dyDescent="0.3">
      <c r="A104" s="31"/>
      <c r="B104" s="72"/>
      <c r="C104" s="73"/>
      <c r="D104" s="209"/>
      <c r="E104" s="210"/>
      <c r="F104" s="108"/>
    </row>
    <row r="105" spans="1:6" ht="15" customHeight="1" x14ac:dyDescent="0.3">
      <c r="A105" s="58" t="s">
        <v>195</v>
      </c>
      <c r="B105" s="99" t="s">
        <v>196</v>
      </c>
      <c r="C105" s="4"/>
      <c r="D105" s="24"/>
      <c r="E105" s="174"/>
      <c r="F105" s="98"/>
    </row>
    <row r="106" spans="1:6" ht="15" customHeight="1" x14ac:dyDescent="0.3">
      <c r="A106" s="20"/>
      <c r="B106" s="122"/>
      <c r="C106" s="4"/>
      <c r="D106" s="24"/>
      <c r="E106" s="9"/>
      <c r="F106" s="7"/>
    </row>
    <row r="107" spans="1:6" ht="15" customHeight="1" x14ac:dyDescent="0.3">
      <c r="A107" s="64" t="s">
        <v>20</v>
      </c>
      <c r="B107" s="123" t="s">
        <v>76</v>
      </c>
      <c r="C107" s="60"/>
      <c r="D107" s="131"/>
      <c r="E107" s="80"/>
      <c r="F107" s="119"/>
    </row>
    <row r="108" spans="1:6" ht="15" customHeight="1" x14ac:dyDescent="0.3">
      <c r="A108" s="64" t="s">
        <v>21</v>
      </c>
      <c r="B108" s="124" t="s">
        <v>199</v>
      </c>
      <c r="C108" s="60"/>
      <c r="D108" s="131"/>
      <c r="E108" s="80"/>
      <c r="F108" s="119"/>
    </row>
    <row r="109" spans="1:6" ht="15" customHeight="1" x14ac:dyDescent="0.3">
      <c r="A109" s="65" t="s">
        <v>201</v>
      </c>
      <c r="B109" s="125" t="s">
        <v>197</v>
      </c>
      <c r="C109" s="60" t="s">
        <v>15</v>
      </c>
      <c r="D109" s="131">
        <f>(12.38+3.19+3.79+2.275+5.98)*1.1</f>
        <v>30.3765</v>
      </c>
      <c r="E109" s="393"/>
      <c r="F109" s="591"/>
    </row>
    <row r="110" spans="1:6" ht="24.9" customHeight="1" x14ac:dyDescent="0.3">
      <c r="A110" s="66" t="s">
        <v>202</v>
      </c>
      <c r="B110" s="69" t="s">
        <v>240</v>
      </c>
      <c r="C110" s="62" t="s">
        <v>15</v>
      </c>
      <c r="D110" s="70">
        <f>+D109</f>
        <v>30.3765</v>
      </c>
      <c r="E110" s="383"/>
      <c r="F110" s="591"/>
    </row>
    <row r="111" spans="1:6" ht="15" customHeight="1" x14ac:dyDescent="0.3">
      <c r="A111" s="64" t="s">
        <v>203</v>
      </c>
      <c r="B111" s="124" t="s">
        <v>200</v>
      </c>
      <c r="C111" s="60"/>
      <c r="D111" s="131"/>
      <c r="E111" s="393"/>
      <c r="F111" s="591"/>
    </row>
    <row r="112" spans="1:6" ht="24.9" customHeight="1" x14ac:dyDescent="0.3">
      <c r="A112" s="66" t="s">
        <v>204</v>
      </c>
      <c r="B112" s="69" t="s">
        <v>238</v>
      </c>
      <c r="C112" s="62" t="s">
        <v>15</v>
      </c>
      <c r="D112" s="70">
        <f>+(0.33+1.84+0.8*2+1.5+0.41)*1.1</f>
        <v>6.2480000000000002</v>
      </c>
      <c r="E112" s="383"/>
      <c r="F112" s="591"/>
    </row>
    <row r="113" spans="1:6" ht="15" customHeight="1" x14ac:dyDescent="0.3">
      <c r="A113" s="64" t="s">
        <v>22</v>
      </c>
      <c r="B113" s="123" t="s">
        <v>198</v>
      </c>
      <c r="C113" s="60"/>
      <c r="D113" s="131"/>
      <c r="E113" s="393"/>
      <c r="F113" s="591"/>
    </row>
    <row r="114" spans="1:6" ht="15" customHeight="1" x14ac:dyDescent="0.3">
      <c r="A114" s="64" t="s">
        <v>77</v>
      </c>
      <c r="B114" s="124" t="s">
        <v>205</v>
      </c>
      <c r="C114" s="60"/>
      <c r="D114" s="131"/>
      <c r="E114" s="393"/>
      <c r="F114" s="591"/>
    </row>
    <row r="115" spans="1:6" ht="15" customHeight="1" x14ac:dyDescent="0.3">
      <c r="A115" s="65" t="s">
        <v>208</v>
      </c>
      <c r="B115" s="125" t="s">
        <v>206</v>
      </c>
      <c r="C115" s="60" t="s">
        <v>15</v>
      </c>
      <c r="D115" s="131">
        <f>(2*0.8+2.3+1.05)*1.2</f>
        <v>5.94</v>
      </c>
      <c r="E115" s="393"/>
      <c r="F115" s="591"/>
    </row>
    <row r="116" spans="1:6" ht="15" customHeight="1" x14ac:dyDescent="0.3">
      <c r="A116" s="65" t="s">
        <v>209</v>
      </c>
      <c r="B116" s="113" t="s">
        <v>207</v>
      </c>
      <c r="C116" s="60" t="s">
        <v>15</v>
      </c>
      <c r="D116" s="131">
        <f>(1.45+0.9)*1.2</f>
        <v>2.82</v>
      </c>
      <c r="E116" s="393"/>
      <c r="F116" s="591"/>
    </row>
    <row r="117" spans="1:6" s="613" customFormat="1" ht="15" customHeight="1" x14ac:dyDescent="0.3">
      <c r="A117" s="65" t="s">
        <v>728</v>
      </c>
      <c r="B117" s="113" t="s">
        <v>729</v>
      </c>
      <c r="C117" s="60" t="s">
        <v>15</v>
      </c>
      <c r="D117" s="131">
        <v>2</v>
      </c>
      <c r="E117" s="393"/>
      <c r="F117" s="591"/>
    </row>
    <row r="118" spans="1:6" ht="15" customHeight="1" x14ac:dyDescent="0.3">
      <c r="A118" s="64" t="s">
        <v>23</v>
      </c>
      <c r="B118" s="111" t="s">
        <v>210</v>
      </c>
      <c r="C118" s="60"/>
      <c r="D118" s="131"/>
      <c r="E118" s="393"/>
      <c r="F118" s="591"/>
    </row>
    <row r="119" spans="1:6" ht="15" customHeight="1" x14ac:dyDescent="0.3">
      <c r="A119" s="64" t="s">
        <v>78</v>
      </c>
      <c r="B119" s="127" t="s">
        <v>211</v>
      </c>
      <c r="C119" s="60"/>
      <c r="D119" s="131"/>
      <c r="E119" s="393"/>
      <c r="F119" s="591"/>
    </row>
    <row r="120" spans="1:6" ht="15" customHeight="1" x14ac:dyDescent="0.3">
      <c r="A120" s="65" t="s">
        <v>215</v>
      </c>
      <c r="B120" s="113" t="s">
        <v>239</v>
      </c>
      <c r="C120" s="60" t="s">
        <v>18</v>
      </c>
      <c r="D120" s="131">
        <v>2</v>
      </c>
      <c r="E120" s="393"/>
      <c r="F120" s="591"/>
    </row>
    <row r="121" spans="1:6" ht="15" customHeight="1" x14ac:dyDescent="0.3">
      <c r="A121" s="64" t="s">
        <v>216</v>
      </c>
      <c r="B121" s="111" t="s">
        <v>212</v>
      </c>
      <c r="C121" s="60"/>
      <c r="D121" s="131"/>
      <c r="E121" s="393"/>
      <c r="F121" s="591"/>
    </row>
    <row r="122" spans="1:6" ht="15" customHeight="1" x14ac:dyDescent="0.3">
      <c r="A122" s="64" t="s">
        <v>217</v>
      </c>
      <c r="B122" s="127" t="s">
        <v>213</v>
      </c>
      <c r="C122" s="60"/>
      <c r="D122" s="131"/>
      <c r="E122" s="393"/>
      <c r="F122" s="591"/>
    </row>
    <row r="123" spans="1:6" ht="24.9" customHeight="1" x14ac:dyDescent="0.3">
      <c r="A123" s="66" t="s">
        <v>218</v>
      </c>
      <c r="B123" s="69" t="s">
        <v>425</v>
      </c>
      <c r="C123" s="62" t="s">
        <v>18</v>
      </c>
      <c r="D123" s="70">
        <v>2</v>
      </c>
      <c r="E123" s="383"/>
      <c r="F123" s="591"/>
    </row>
    <row r="124" spans="1:6" ht="24.9" customHeight="1" x14ac:dyDescent="0.3">
      <c r="A124" s="66" t="s">
        <v>219</v>
      </c>
      <c r="B124" s="69" t="s">
        <v>731</v>
      </c>
      <c r="C124" s="62" t="s">
        <v>18</v>
      </c>
      <c r="D124" s="70">
        <v>2</v>
      </c>
      <c r="E124" s="383"/>
      <c r="F124" s="591"/>
    </row>
    <row r="125" spans="1:6" ht="15" customHeight="1" x14ac:dyDescent="0.3">
      <c r="A125" s="64" t="s">
        <v>220</v>
      </c>
      <c r="B125" s="127" t="s">
        <v>221</v>
      </c>
      <c r="C125" s="60"/>
      <c r="D125" s="131"/>
      <c r="E125" s="393"/>
      <c r="F125" s="591"/>
    </row>
    <row r="126" spans="1:6" ht="15" customHeight="1" x14ac:dyDescent="0.3">
      <c r="A126" s="65" t="s">
        <v>222</v>
      </c>
      <c r="B126" s="113" t="s">
        <v>705</v>
      </c>
      <c r="C126" s="60" t="s">
        <v>18</v>
      </c>
      <c r="D126" s="131">
        <v>2</v>
      </c>
      <c r="E126" s="393"/>
      <c r="F126" s="591"/>
    </row>
    <row r="127" spans="1:6" ht="15" customHeight="1" x14ac:dyDescent="0.3">
      <c r="A127" s="65" t="s">
        <v>223</v>
      </c>
      <c r="B127" s="81" t="s">
        <v>214</v>
      </c>
      <c r="C127" s="63" t="s">
        <v>18</v>
      </c>
      <c r="D127" s="212">
        <v>2</v>
      </c>
      <c r="E127" s="401"/>
      <c r="F127" s="591"/>
    </row>
    <row r="128" spans="1:6" ht="15" customHeight="1" x14ac:dyDescent="0.3">
      <c r="A128" s="65" t="s">
        <v>224</v>
      </c>
      <c r="B128" s="81" t="s">
        <v>430</v>
      </c>
      <c r="C128" s="63" t="s">
        <v>18</v>
      </c>
      <c r="D128" s="212">
        <v>2</v>
      </c>
      <c r="E128" s="401"/>
      <c r="F128" s="591"/>
    </row>
    <row r="129" spans="1:6" s="613" customFormat="1" ht="15" customHeight="1" x14ac:dyDescent="0.3">
      <c r="A129" s="65" t="s">
        <v>726</v>
      </c>
      <c r="B129" s="81" t="s">
        <v>727</v>
      </c>
      <c r="C129" s="63" t="s">
        <v>18</v>
      </c>
      <c r="D129" s="212">
        <v>2</v>
      </c>
      <c r="E129" s="401"/>
      <c r="F129" s="591"/>
    </row>
    <row r="130" spans="1:6" ht="15" customHeight="1" thickBot="1" x14ac:dyDescent="0.35">
      <c r="A130" s="78"/>
      <c r="B130" s="128"/>
      <c r="C130" s="63"/>
      <c r="D130" s="206"/>
      <c r="E130" s="207"/>
      <c r="F130" s="121"/>
    </row>
    <row r="131" spans="1:6" ht="15" customHeight="1" thickBot="1" x14ac:dyDescent="0.35">
      <c r="A131" s="767" t="s">
        <v>225</v>
      </c>
      <c r="B131" s="768"/>
      <c r="C131" s="768"/>
      <c r="D131" s="768"/>
      <c r="E131" s="768"/>
      <c r="F131" s="586"/>
    </row>
    <row r="132" spans="1:6" ht="15" customHeight="1" x14ac:dyDescent="0.3">
      <c r="A132" s="39"/>
      <c r="B132" s="129"/>
      <c r="C132" s="29"/>
      <c r="D132" s="205"/>
      <c r="E132" s="33"/>
      <c r="F132" s="110"/>
    </row>
    <row r="133" spans="1:6" ht="15" customHeight="1" x14ac:dyDescent="0.3">
      <c r="A133" s="58" t="s">
        <v>226</v>
      </c>
      <c r="B133" s="99" t="s">
        <v>227</v>
      </c>
      <c r="C133" s="4"/>
      <c r="D133" s="24"/>
      <c r="E133" s="174"/>
      <c r="F133" s="98"/>
    </row>
    <row r="134" spans="1:6" ht="15" customHeight="1" x14ac:dyDescent="0.3">
      <c r="A134" s="39"/>
      <c r="B134" s="129"/>
      <c r="C134" s="29"/>
      <c r="D134" s="205"/>
      <c r="E134" s="33"/>
      <c r="F134" s="110"/>
    </row>
    <row r="135" spans="1:6" ht="15" customHeight="1" x14ac:dyDescent="0.3">
      <c r="A135" s="64" t="s">
        <v>44</v>
      </c>
      <c r="B135" s="111" t="s">
        <v>228</v>
      </c>
      <c r="C135" s="60"/>
      <c r="D135" s="131"/>
      <c r="E135" s="80"/>
      <c r="F135" s="119"/>
    </row>
    <row r="136" spans="1:6" ht="15" customHeight="1" x14ac:dyDescent="0.3">
      <c r="A136" s="64" t="s">
        <v>75</v>
      </c>
      <c r="B136" s="127" t="s">
        <v>229</v>
      </c>
      <c r="C136" s="60"/>
      <c r="D136" s="131"/>
      <c r="E136" s="80"/>
      <c r="F136" s="119"/>
    </row>
    <row r="137" spans="1:6" ht="15" customHeight="1" x14ac:dyDescent="0.3">
      <c r="A137" s="65" t="s">
        <v>242</v>
      </c>
      <c r="B137" s="113" t="s">
        <v>241</v>
      </c>
      <c r="C137" s="60" t="s">
        <v>15</v>
      </c>
      <c r="D137" s="131">
        <f>3.03+3.5</f>
        <v>6.5299999999999994</v>
      </c>
      <c r="E137" s="393"/>
      <c r="F137" s="591"/>
    </row>
    <row r="138" spans="1:6" ht="15" customHeight="1" x14ac:dyDescent="0.3">
      <c r="A138" s="64" t="s">
        <v>24</v>
      </c>
      <c r="B138" s="111" t="s">
        <v>232</v>
      </c>
      <c r="C138" s="60"/>
      <c r="D138" s="131"/>
      <c r="E138" s="393"/>
      <c r="F138" s="591"/>
    </row>
    <row r="139" spans="1:6" ht="15" customHeight="1" x14ac:dyDescent="0.3">
      <c r="A139" s="64" t="s">
        <v>25</v>
      </c>
      <c r="B139" s="130" t="s">
        <v>233</v>
      </c>
      <c r="C139" s="60"/>
      <c r="D139" s="131"/>
      <c r="E139" s="393"/>
      <c r="F139" s="591"/>
    </row>
    <row r="140" spans="1:6" ht="15" customHeight="1" x14ac:dyDescent="0.3">
      <c r="A140" s="68" t="s">
        <v>243</v>
      </c>
      <c r="B140" s="132" t="s">
        <v>230</v>
      </c>
      <c r="C140" s="67" t="s">
        <v>18</v>
      </c>
      <c r="D140" s="133">
        <v>1</v>
      </c>
      <c r="E140" s="593"/>
      <c r="F140" s="591"/>
    </row>
    <row r="141" spans="1:6" ht="15" customHeight="1" x14ac:dyDescent="0.3">
      <c r="A141" s="65" t="s">
        <v>244</v>
      </c>
      <c r="B141" s="69" t="s">
        <v>723</v>
      </c>
      <c r="C141" s="60" t="s">
        <v>18</v>
      </c>
      <c r="D141" s="131">
        <v>1</v>
      </c>
      <c r="E141" s="393"/>
      <c r="F141" s="591"/>
    </row>
    <row r="142" spans="1:6" ht="15" customHeight="1" x14ac:dyDescent="0.3">
      <c r="A142" s="64" t="s">
        <v>245</v>
      </c>
      <c r="B142" s="130" t="s">
        <v>234</v>
      </c>
      <c r="C142" s="60"/>
      <c r="D142" s="131"/>
      <c r="E142" s="393"/>
      <c r="F142" s="591"/>
    </row>
    <row r="143" spans="1:6" ht="15" customHeight="1" x14ac:dyDescent="0.3">
      <c r="A143" s="66" t="s">
        <v>246</v>
      </c>
      <c r="B143" s="69" t="s">
        <v>235</v>
      </c>
      <c r="C143" s="62" t="s">
        <v>18</v>
      </c>
      <c r="D143" s="70">
        <v>1</v>
      </c>
      <c r="E143" s="383"/>
      <c r="F143" s="591"/>
    </row>
    <row r="144" spans="1:6" ht="15" customHeight="1" x14ac:dyDescent="0.3">
      <c r="A144" s="64" t="s">
        <v>247</v>
      </c>
      <c r="B144" s="130" t="s">
        <v>236</v>
      </c>
      <c r="C144" s="62"/>
      <c r="D144" s="70"/>
      <c r="E144" s="383"/>
      <c r="F144" s="591"/>
    </row>
    <row r="145" spans="1:6" ht="15" customHeight="1" x14ac:dyDescent="0.3">
      <c r="A145" s="66" t="s">
        <v>248</v>
      </c>
      <c r="B145" s="69" t="s">
        <v>237</v>
      </c>
      <c r="C145" s="62" t="s">
        <v>18</v>
      </c>
      <c r="D145" s="70">
        <v>1</v>
      </c>
      <c r="E145" s="383"/>
      <c r="F145" s="591"/>
    </row>
    <row r="146" spans="1:6" ht="15" customHeight="1" thickBot="1" x14ac:dyDescent="0.35">
      <c r="A146" s="36"/>
      <c r="B146" s="71"/>
      <c r="C146" s="37"/>
      <c r="D146" s="38"/>
      <c r="E146" s="213"/>
      <c r="F146" s="134"/>
    </row>
    <row r="147" spans="1:6" ht="15" customHeight="1" thickBot="1" x14ac:dyDescent="0.35">
      <c r="A147" s="767" t="s">
        <v>231</v>
      </c>
      <c r="B147" s="768"/>
      <c r="C147" s="768"/>
      <c r="D147" s="768"/>
      <c r="E147" s="768"/>
      <c r="F147" s="586"/>
    </row>
    <row r="148" spans="1:6" ht="15" customHeight="1" x14ac:dyDescent="0.3">
      <c r="A148" s="21"/>
      <c r="B148" s="15"/>
      <c r="C148" s="4"/>
      <c r="D148" s="24"/>
      <c r="E148" s="9"/>
      <c r="F148" s="7"/>
    </row>
    <row r="149" spans="1:6" ht="15" customHeight="1" x14ac:dyDescent="0.3">
      <c r="A149" s="58" t="s">
        <v>249</v>
      </c>
      <c r="B149" s="99" t="s">
        <v>250</v>
      </c>
      <c r="C149" s="4"/>
      <c r="D149" s="24"/>
      <c r="E149" s="174"/>
      <c r="F149" s="98"/>
    </row>
    <row r="150" spans="1:6" ht="15" customHeight="1" x14ac:dyDescent="0.3">
      <c r="A150" s="21"/>
      <c r="B150" s="15"/>
      <c r="C150" s="4"/>
      <c r="D150" s="24"/>
      <c r="E150" s="9"/>
      <c r="F150" s="7"/>
    </row>
    <row r="151" spans="1:6" ht="15" customHeight="1" x14ac:dyDescent="0.3">
      <c r="A151" s="64" t="s">
        <v>26</v>
      </c>
      <c r="B151" s="111" t="s">
        <v>251</v>
      </c>
      <c r="C151" s="60"/>
      <c r="D151" s="131"/>
      <c r="E151" s="80"/>
      <c r="F151" s="119"/>
    </row>
    <row r="152" spans="1:6" ht="15" customHeight="1" x14ac:dyDescent="0.3">
      <c r="A152" s="64" t="s">
        <v>42</v>
      </c>
      <c r="B152" s="127" t="s">
        <v>253</v>
      </c>
      <c r="C152" s="60"/>
      <c r="D152" s="131"/>
      <c r="E152" s="80"/>
      <c r="F152" s="119"/>
    </row>
    <row r="153" spans="1:6" ht="15" customHeight="1" x14ac:dyDescent="0.3">
      <c r="A153" s="65" t="s">
        <v>258</v>
      </c>
      <c r="B153" s="113" t="s">
        <v>422</v>
      </c>
      <c r="C153" s="60" t="s">
        <v>15</v>
      </c>
      <c r="D153" s="131">
        <v>21</v>
      </c>
      <c r="E153" s="393"/>
      <c r="F153" s="591"/>
    </row>
    <row r="154" spans="1:6" ht="15" customHeight="1" x14ac:dyDescent="0.3">
      <c r="A154" s="65" t="s">
        <v>259</v>
      </c>
      <c r="B154" s="113" t="s">
        <v>252</v>
      </c>
      <c r="C154" s="60" t="s">
        <v>15</v>
      </c>
      <c r="D154" s="131">
        <f>+D153</f>
        <v>21</v>
      </c>
      <c r="E154" s="393"/>
      <c r="F154" s="591"/>
    </row>
    <row r="155" spans="1:6" ht="15" customHeight="1" x14ac:dyDescent="0.3">
      <c r="A155" s="64" t="s">
        <v>266</v>
      </c>
      <c r="B155" s="127" t="s">
        <v>254</v>
      </c>
      <c r="C155" s="60"/>
      <c r="D155" s="131"/>
      <c r="E155" s="393"/>
      <c r="F155" s="591"/>
    </row>
    <row r="156" spans="1:6" ht="24.9" customHeight="1" x14ac:dyDescent="0.3">
      <c r="A156" s="66" t="s">
        <v>260</v>
      </c>
      <c r="B156" s="69" t="s">
        <v>280</v>
      </c>
      <c r="C156" s="62" t="s">
        <v>15</v>
      </c>
      <c r="D156" s="70">
        <v>33.47</v>
      </c>
      <c r="E156" s="383"/>
      <c r="F156" s="591"/>
    </row>
    <row r="157" spans="1:6" ht="24.9" customHeight="1" x14ac:dyDescent="0.3">
      <c r="A157" s="66" t="s">
        <v>261</v>
      </c>
      <c r="B157" s="69" t="s">
        <v>264</v>
      </c>
      <c r="C157" s="62" t="s">
        <v>54</v>
      </c>
      <c r="D157" s="70">
        <v>2</v>
      </c>
      <c r="E157" s="383"/>
      <c r="F157" s="591"/>
    </row>
    <row r="158" spans="1:6" ht="15" customHeight="1" x14ac:dyDescent="0.3">
      <c r="A158" s="64" t="s">
        <v>267</v>
      </c>
      <c r="B158" s="127" t="s">
        <v>255</v>
      </c>
      <c r="C158" s="60"/>
      <c r="D158" s="131"/>
      <c r="E158" s="393"/>
      <c r="F158" s="591"/>
    </row>
    <row r="159" spans="1:6" ht="24.9" customHeight="1" x14ac:dyDescent="0.3">
      <c r="A159" s="66" t="s">
        <v>281</v>
      </c>
      <c r="B159" s="69" t="s">
        <v>670</v>
      </c>
      <c r="C159" s="62" t="s">
        <v>18</v>
      </c>
      <c r="D159" s="70">
        <v>1</v>
      </c>
      <c r="E159" s="383"/>
      <c r="F159" s="591"/>
    </row>
    <row r="160" spans="1:6" ht="15" customHeight="1" x14ac:dyDescent="0.3">
      <c r="A160" s="64" t="s">
        <v>27</v>
      </c>
      <c r="B160" s="111" t="s">
        <v>263</v>
      </c>
      <c r="C160" s="60"/>
      <c r="D160" s="131"/>
      <c r="E160" s="393"/>
      <c r="F160" s="591"/>
    </row>
    <row r="161" spans="1:6" ht="15" customHeight="1" x14ac:dyDescent="0.3">
      <c r="A161" s="64" t="s">
        <v>71</v>
      </c>
      <c r="B161" s="127" t="s">
        <v>257</v>
      </c>
      <c r="C161" s="60"/>
      <c r="D161" s="131"/>
      <c r="E161" s="393"/>
      <c r="F161" s="591"/>
    </row>
    <row r="162" spans="1:6" ht="15" customHeight="1" x14ac:dyDescent="0.3">
      <c r="A162" s="65" t="s">
        <v>260</v>
      </c>
      <c r="B162" s="113" t="s">
        <v>423</v>
      </c>
      <c r="C162" s="60" t="s">
        <v>15</v>
      </c>
      <c r="D162" s="131">
        <f>7*1.9*1.2</f>
        <v>15.959999999999997</v>
      </c>
      <c r="E162" s="393"/>
      <c r="F162" s="591"/>
    </row>
    <row r="163" spans="1:6" ht="15" customHeight="1" x14ac:dyDescent="0.3">
      <c r="A163" s="65" t="s">
        <v>261</v>
      </c>
      <c r="B163" s="113" t="s">
        <v>428</v>
      </c>
      <c r="C163" s="60" t="s">
        <v>15</v>
      </c>
      <c r="D163" s="131">
        <f>+(2.45+3.47+3.37+0.3*8+0.72+1.2*2+2.01+3.11+2.53+0.31+2*1.9)*1.2</f>
        <v>31.884</v>
      </c>
      <c r="E163" s="393"/>
      <c r="F163" s="591"/>
    </row>
    <row r="164" spans="1:6" ht="15" customHeight="1" x14ac:dyDescent="0.3">
      <c r="A164" s="65" t="s">
        <v>262</v>
      </c>
      <c r="B164" s="113" t="s">
        <v>256</v>
      </c>
      <c r="C164" s="60" t="s">
        <v>15</v>
      </c>
      <c r="D164" s="131">
        <f>+(2.76+2.37+1.1+1.73+1.56+4.2+1.06+1.78+5.15+2.42+10.46+1.33+1.71+1.95+1.71+1.22+5.11+1.22)*1.2</f>
        <v>58.608000000000004</v>
      </c>
      <c r="E164" s="393"/>
      <c r="F164" s="591"/>
    </row>
    <row r="165" spans="1:6" ht="15" customHeight="1" x14ac:dyDescent="0.3">
      <c r="A165" s="78" t="s">
        <v>28</v>
      </c>
      <c r="B165" s="214" t="s">
        <v>268</v>
      </c>
      <c r="C165" s="185"/>
      <c r="D165" s="165"/>
      <c r="E165" s="165"/>
      <c r="F165" s="591"/>
    </row>
    <row r="166" spans="1:6" ht="15" customHeight="1" x14ac:dyDescent="0.3">
      <c r="A166" s="147" t="s">
        <v>87</v>
      </c>
      <c r="B166" s="215" t="s">
        <v>270</v>
      </c>
      <c r="C166" s="216"/>
      <c r="D166" s="166"/>
      <c r="E166" s="166"/>
      <c r="F166" s="591"/>
    </row>
    <row r="167" spans="1:6" ht="15" customHeight="1" x14ac:dyDescent="0.3">
      <c r="A167" s="148" t="s">
        <v>282</v>
      </c>
      <c r="B167" s="216" t="s">
        <v>269</v>
      </c>
      <c r="C167" s="163" t="s">
        <v>18</v>
      </c>
      <c r="D167" s="169">
        <v>7</v>
      </c>
      <c r="E167" s="166"/>
      <c r="F167" s="591"/>
    </row>
    <row r="168" spans="1:6" ht="15" customHeight="1" x14ac:dyDescent="0.3">
      <c r="A168" s="148" t="s">
        <v>283</v>
      </c>
      <c r="B168" s="216" t="s">
        <v>274</v>
      </c>
      <c r="C168" s="163" t="s">
        <v>18</v>
      </c>
      <c r="D168" s="169">
        <v>1</v>
      </c>
      <c r="E168" s="166"/>
      <c r="F168" s="591"/>
    </row>
    <row r="169" spans="1:6" ht="15" customHeight="1" x14ac:dyDescent="0.3">
      <c r="A169" s="135" t="s">
        <v>89</v>
      </c>
      <c r="B169" s="217" t="s">
        <v>271</v>
      </c>
      <c r="C169" s="185"/>
      <c r="D169" s="165"/>
      <c r="E169" s="165"/>
      <c r="F169" s="591"/>
    </row>
    <row r="170" spans="1:6" ht="15" customHeight="1" x14ac:dyDescent="0.3">
      <c r="A170" s="136" t="s">
        <v>284</v>
      </c>
      <c r="B170" s="113" t="s">
        <v>272</v>
      </c>
      <c r="C170" s="60" t="s">
        <v>18</v>
      </c>
      <c r="D170" s="131">
        <f>1+1+1+1</f>
        <v>4</v>
      </c>
      <c r="E170" s="393"/>
      <c r="F170" s="591"/>
    </row>
    <row r="171" spans="1:6" ht="15" customHeight="1" x14ac:dyDescent="0.3">
      <c r="A171" s="136" t="s">
        <v>285</v>
      </c>
      <c r="B171" s="113" t="s">
        <v>273</v>
      </c>
      <c r="C171" s="60" t="s">
        <v>18</v>
      </c>
      <c r="D171" s="131">
        <f>1+1</f>
        <v>2</v>
      </c>
      <c r="E171" s="393"/>
      <c r="F171" s="591"/>
    </row>
    <row r="172" spans="1:6" ht="15" customHeight="1" x14ac:dyDescent="0.3">
      <c r="A172" s="136" t="s">
        <v>286</v>
      </c>
      <c r="B172" s="113" t="s">
        <v>424</v>
      </c>
      <c r="C172" s="60" t="s">
        <v>18</v>
      </c>
      <c r="D172" s="131">
        <f>1+1</f>
        <v>2</v>
      </c>
      <c r="E172" s="393"/>
      <c r="F172" s="591"/>
    </row>
    <row r="173" spans="1:6" ht="15" customHeight="1" x14ac:dyDescent="0.3">
      <c r="A173" s="135" t="s">
        <v>90</v>
      </c>
      <c r="B173" s="127" t="s">
        <v>275</v>
      </c>
      <c r="C173" s="60"/>
      <c r="D173" s="131"/>
      <c r="E173" s="393"/>
      <c r="F173" s="591"/>
    </row>
    <row r="174" spans="1:6" ht="15" customHeight="1" x14ac:dyDescent="0.3">
      <c r="A174" s="136" t="s">
        <v>287</v>
      </c>
      <c r="B174" s="113" t="s">
        <v>276</v>
      </c>
      <c r="C174" s="60" t="s">
        <v>18</v>
      </c>
      <c r="D174" s="131">
        <v>8</v>
      </c>
      <c r="E174" s="393"/>
      <c r="F174" s="591"/>
    </row>
    <row r="175" spans="1:6" ht="15" customHeight="1" x14ac:dyDescent="0.3">
      <c r="A175" s="136" t="s">
        <v>288</v>
      </c>
      <c r="B175" s="113" t="s">
        <v>277</v>
      </c>
      <c r="C175" s="60" t="s">
        <v>18</v>
      </c>
      <c r="D175" s="131">
        <v>6</v>
      </c>
      <c r="E175" s="393"/>
      <c r="F175" s="591"/>
    </row>
    <row r="176" spans="1:6" ht="15" customHeight="1" x14ac:dyDescent="0.3">
      <c r="A176" s="136" t="s">
        <v>289</v>
      </c>
      <c r="B176" s="113" t="s">
        <v>278</v>
      </c>
      <c r="C176" s="60" t="s">
        <v>18</v>
      </c>
      <c r="D176" s="131">
        <v>1</v>
      </c>
      <c r="E176" s="393"/>
      <c r="F176" s="591"/>
    </row>
    <row r="177" spans="1:6" ht="15" customHeight="1" x14ac:dyDescent="0.3">
      <c r="A177" s="136" t="s">
        <v>290</v>
      </c>
      <c r="B177" s="113" t="s">
        <v>279</v>
      </c>
      <c r="C177" s="60" t="s">
        <v>18</v>
      </c>
      <c r="D177" s="131">
        <v>2</v>
      </c>
      <c r="E177" s="393"/>
      <c r="F177" s="591"/>
    </row>
    <row r="178" spans="1:6" ht="15" customHeight="1" x14ac:dyDescent="0.3">
      <c r="A178" s="135" t="s">
        <v>29</v>
      </c>
      <c r="B178" s="111" t="s">
        <v>232</v>
      </c>
      <c r="C178" s="60"/>
      <c r="D178" s="131"/>
      <c r="E178" s="393"/>
      <c r="F178" s="591"/>
    </row>
    <row r="179" spans="1:6" ht="15" customHeight="1" x14ac:dyDescent="0.3">
      <c r="A179" s="65" t="s">
        <v>91</v>
      </c>
      <c r="B179" s="113" t="s">
        <v>265</v>
      </c>
      <c r="C179" s="60" t="s">
        <v>54</v>
      </c>
      <c r="D179" s="131">
        <v>1</v>
      </c>
      <c r="E179" s="393"/>
      <c r="F179" s="591"/>
    </row>
    <row r="180" spans="1:6" ht="15" customHeight="1" thickBot="1" x14ac:dyDescent="0.35">
      <c r="A180" s="65"/>
      <c r="B180" s="113"/>
      <c r="C180" s="60"/>
      <c r="D180" s="131"/>
      <c r="E180" s="80"/>
      <c r="F180" s="119"/>
    </row>
    <row r="181" spans="1:6" ht="15" customHeight="1" thickBot="1" x14ac:dyDescent="0.35">
      <c r="A181" s="767" t="s">
        <v>291</v>
      </c>
      <c r="B181" s="768"/>
      <c r="C181" s="768"/>
      <c r="D181" s="768"/>
      <c r="E181" s="768"/>
      <c r="F181" s="586"/>
    </row>
    <row r="182" spans="1:6" ht="15" customHeight="1" x14ac:dyDescent="0.3">
      <c r="A182" s="65"/>
      <c r="B182" s="113"/>
      <c r="C182" s="60"/>
      <c r="D182" s="218"/>
      <c r="E182" s="80"/>
      <c r="F182" s="119"/>
    </row>
    <row r="183" spans="1:6" ht="15" customHeight="1" x14ac:dyDescent="0.3">
      <c r="A183" s="58" t="s">
        <v>292</v>
      </c>
      <c r="B183" s="99" t="s">
        <v>293</v>
      </c>
      <c r="C183" s="4"/>
      <c r="D183" s="24"/>
      <c r="E183" s="174"/>
      <c r="F183" s="98"/>
    </row>
    <row r="184" spans="1:6" ht="15" customHeight="1" x14ac:dyDescent="0.3">
      <c r="A184" s="65"/>
      <c r="B184" s="113"/>
      <c r="C184" s="60"/>
      <c r="D184" s="218"/>
      <c r="E184" s="80"/>
      <c r="F184" s="119"/>
    </row>
    <row r="185" spans="1:6" ht="15" customHeight="1" x14ac:dyDescent="0.3">
      <c r="A185" s="64" t="s">
        <v>294</v>
      </c>
      <c r="B185" s="111" t="s">
        <v>295</v>
      </c>
      <c r="C185" s="60"/>
      <c r="D185" s="131"/>
      <c r="E185" s="80"/>
      <c r="F185" s="119"/>
    </row>
    <row r="186" spans="1:6" ht="15" customHeight="1" x14ac:dyDescent="0.3">
      <c r="A186" s="64" t="s">
        <v>296</v>
      </c>
      <c r="B186" s="127" t="s">
        <v>297</v>
      </c>
      <c r="C186" s="60"/>
      <c r="D186" s="218"/>
      <c r="E186" s="80"/>
      <c r="F186" s="119"/>
    </row>
    <row r="187" spans="1:6" ht="15" customHeight="1" x14ac:dyDescent="0.3">
      <c r="A187" s="65" t="s">
        <v>298</v>
      </c>
      <c r="B187" s="113" t="s">
        <v>301</v>
      </c>
      <c r="C187" s="60" t="s">
        <v>18</v>
      </c>
      <c r="D187" s="131">
        <v>1</v>
      </c>
      <c r="E187" s="393"/>
      <c r="F187" s="591"/>
    </row>
    <row r="188" spans="1:6" ht="15" customHeight="1" x14ac:dyDescent="0.3">
      <c r="A188" s="65" t="s">
        <v>299</v>
      </c>
      <c r="B188" s="113" t="s">
        <v>302</v>
      </c>
      <c r="C188" s="60" t="s">
        <v>18</v>
      </c>
      <c r="D188" s="131">
        <v>1</v>
      </c>
      <c r="E188" s="393"/>
      <c r="F188" s="591"/>
    </row>
    <row r="189" spans="1:6" ht="15" customHeight="1" x14ac:dyDescent="0.3">
      <c r="A189" s="64" t="s">
        <v>305</v>
      </c>
      <c r="B189" s="127" t="s">
        <v>300</v>
      </c>
      <c r="C189" s="60"/>
      <c r="D189" s="131"/>
      <c r="E189" s="393"/>
      <c r="F189" s="591"/>
    </row>
    <row r="190" spans="1:6" ht="15" customHeight="1" x14ac:dyDescent="0.3">
      <c r="A190" s="65" t="s">
        <v>306</v>
      </c>
      <c r="B190" s="113" t="s">
        <v>303</v>
      </c>
      <c r="C190" s="60" t="s">
        <v>18</v>
      </c>
      <c r="D190" s="131">
        <v>3</v>
      </c>
      <c r="E190" s="393"/>
      <c r="F190" s="591"/>
    </row>
    <row r="191" spans="1:6" ht="15" customHeight="1" x14ac:dyDescent="0.3">
      <c r="A191" s="65" t="s">
        <v>307</v>
      </c>
      <c r="B191" s="113" t="s">
        <v>304</v>
      </c>
      <c r="C191" s="60" t="s">
        <v>18</v>
      </c>
      <c r="D191" s="131">
        <v>1</v>
      </c>
      <c r="E191" s="393"/>
      <c r="F191" s="591"/>
    </row>
    <row r="192" spans="1:6" ht="15" customHeight="1" thickBot="1" x14ac:dyDescent="0.35">
      <c r="A192" s="65"/>
      <c r="B192" s="113"/>
      <c r="C192" s="60"/>
      <c r="D192" s="218"/>
      <c r="E192" s="80"/>
      <c r="F192" s="119"/>
    </row>
    <row r="193" spans="1:6" ht="15" customHeight="1" thickBot="1" x14ac:dyDescent="0.35">
      <c r="A193" s="767" t="s">
        <v>308</v>
      </c>
      <c r="B193" s="768"/>
      <c r="C193" s="768"/>
      <c r="D193" s="768"/>
      <c r="E193" s="768"/>
      <c r="F193" s="586"/>
    </row>
    <row r="194" spans="1:6" ht="15" customHeight="1" x14ac:dyDescent="0.3">
      <c r="A194" s="65"/>
      <c r="B194" s="113"/>
      <c r="C194" s="60"/>
      <c r="D194" s="218"/>
      <c r="E194" s="80"/>
      <c r="F194" s="119"/>
    </row>
    <row r="195" spans="1:6" ht="15" customHeight="1" x14ac:dyDescent="0.3">
      <c r="A195" s="58" t="s">
        <v>309</v>
      </c>
      <c r="B195" s="99" t="s">
        <v>310</v>
      </c>
      <c r="C195" s="4"/>
      <c r="D195" s="24"/>
      <c r="E195" s="174"/>
      <c r="F195" s="98"/>
    </row>
    <row r="196" spans="1:6" ht="15" customHeight="1" x14ac:dyDescent="0.3">
      <c r="A196" s="65"/>
      <c r="B196" s="113"/>
      <c r="C196" s="60"/>
      <c r="D196" s="218"/>
      <c r="E196" s="80"/>
      <c r="F196" s="119"/>
    </row>
    <row r="197" spans="1:6" ht="15" customHeight="1" x14ac:dyDescent="0.3">
      <c r="A197" s="64" t="s">
        <v>48</v>
      </c>
      <c r="B197" s="111" t="s">
        <v>88</v>
      </c>
      <c r="C197" s="60"/>
      <c r="D197" s="131"/>
      <c r="E197" s="80"/>
      <c r="F197" s="119"/>
    </row>
    <row r="198" spans="1:6" ht="15" customHeight="1" x14ac:dyDescent="0.3">
      <c r="A198" s="64" t="s">
        <v>49</v>
      </c>
      <c r="B198" s="127" t="s">
        <v>311</v>
      </c>
      <c r="C198" s="60"/>
      <c r="D198" s="218"/>
      <c r="E198" s="80"/>
      <c r="F198" s="119"/>
    </row>
    <row r="199" spans="1:6" ht="15" customHeight="1" x14ac:dyDescent="0.3">
      <c r="A199" s="65" t="s">
        <v>313</v>
      </c>
      <c r="B199" s="113" t="s">
        <v>312</v>
      </c>
      <c r="C199" s="60" t="s">
        <v>414</v>
      </c>
      <c r="D199" s="131">
        <v>1</v>
      </c>
      <c r="E199" s="393"/>
      <c r="F199" s="591"/>
    </row>
    <row r="200" spans="1:6" ht="15" customHeight="1" x14ac:dyDescent="0.3">
      <c r="A200" s="64" t="s">
        <v>316</v>
      </c>
      <c r="B200" s="111" t="s">
        <v>314</v>
      </c>
      <c r="C200" s="60"/>
      <c r="D200" s="131"/>
      <c r="E200" s="393"/>
      <c r="F200" s="591"/>
    </row>
    <row r="201" spans="1:6" ht="15" customHeight="1" x14ac:dyDescent="0.3">
      <c r="A201" s="65" t="s">
        <v>319</v>
      </c>
      <c r="B201" s="113" t="s">
        <v>315</v>
      </c>
      <c r="C201" s="60" t="s">
        <v>15</v>
      </c>
      <c r="D201" s="131">
        <f>+(8.29+2*0.3+3)*1.2</f>
        <v>14.267999999999999</v>
      </c>
      <c r="E201" s="393"/>
      <c r="F201" s="591"/>
    </row>
    <row r="202" spans="1:6" ht="15" customHeight="1" x14ac:dyDescent="0.3">
      <c r="A202" s="65" t="s">
        <v>320</v>
      </c>
      <c r="B202" s="113" t="s">
        <v>318</v>
      </c>
      <c r="C202" s="60" t="s">
        <v>15</v>
      </c>
      <c r="D202" s="131">
        <f>+D201</f>
        <v>14.267999999999999</v>
      </c>
      <c r="E202" s="393"/>
      <c r="F202" s="591"/>
    </row>
    <row r="203" spans="1:6" ht="15" customHeight="1" x14ac:dyDescent="0.3">
      <c r="A203" s="65" t="s">
        <v>321</v>
      </c>
      <c r="B203" s="113" t="s">
        <v>317</v>
      </c>
      <c r="C203" s="60" t="s">
        <v>18</v>
      </c>
      <c r="D203" s="131">
        <v>1</v>
      </c>
      <c r="E203" s="393"/>
      <c r="F203" s="591"/>
    </row>
    <row r="204" spans="1:6" ht="15" customHeight="1" x14ac:dyDescent="0.3">
      <c r="A204" s="64" t="s">
        <v>323</v>
      </c>
      <c r="B204" s="111" t="s">
        <v>322</v>
      </c>
      <c r="C204" s="60"/>
      <c r="D204" s="131"/>
      <c r="E204" s="393"/>
      <c r="F204" s="591"/>
    </row>
    <row r="205" spans="1:6" ht="15" customHeight="1" x14ac:dyDescent="0.3">
      <c r="A205" s="65" t="s">
        <v>325</v>
      </c>
      <c r="B205" s="113" t="s">
        <v>324</v>
      </c>
      <c r="C205" s="60" t="s">
        <v>18</v>
      </c>
      <c r="D205" s="131">
        <v>2</v>
      </c>
      <c r="E205" s="393"/>
      <c r="F205" s="591"/>
    </row>
    <row r="206" spans="1:6" ht="15" customHeight="1" thickBot="1" x14ac:dyDescent="0.35">
      <c r="A206" s="65"/>
      <c r="B206" s="113"/>
      <c r="C206" s="60"/>
      <c r="D206" s="218"/>
      <c r="E206" s="80"/>
      <c r="F206" s="119"/>
    </row>
    <row r="207" spans="1:6" ht="15" customHeight="1" thickBot="1" x14ac:dyDescent="0.35">
      <c r="A207" s="767" t="s">
        <v>326</v>
      </c>
      <c r="B207" s="768"/>
      <c r="C207" s="768"/>
      <c r="D207" s="768"/>
      <c r="E207" s="768"/>
      <c r="F207" s="586"/>
    </row>
    <row r="208" spans="1:6" ht="15" customHeight="1" x14ac:dyDescent="0.3">
      <c r="A208" s="65"/>
      <c r="B208" s="113"/>
      <c r="C208" s="60"/>
      <c r="D208" s="218"/>
      <c r="E208" s="80"/>
      <c r="F208" s="119"/>
    </row>
    <row r="209" spans="1:6" ht="15" customHeight="1" x14ac:dyDescent="0.3">
      <c r="A209" s="58" t="s">
        <v>327</v>
      </c>
      <c r="B209" s="99" t="s">
        <v>328</v>
      </c>
      <c r="C209" s="4"/>
      <c r="D209" s="24"/>
      <c r="E209" s="174"/>
      <c r="F209" s="98"/>
    </row>
    <row r="210" spans="1:6" ht="15" customHeight="1" x14ac:dyDescent="0.3">
      <c r="A210" s="65"/>
      <c r="B210" s="113"/>
      <c r="C210" s="60"/>
      <c r="D210" s="218"/>
      <c r="E210" s="80"/>
      <c r="F210" s="119"/>
    </row>
    <row r="211" spans="1:6" ht="15" customHeight="1" x14ac:dyDescent="0.3">
      <c r="A211" s="64" t="s">
        <v>93</v>
      </c>
      <c r="B211" s="111" t="s">
        <v>329</v>
      </c>
      <c r="C211" s="60"/>
      <c r="D211" s="218"/>
      <c r="E211" s="80"/>
      <c r="F211" s="119"/>
    </row>
    <row r="212" spans="1:6" ht="15" customHeight="1" x14ac:dyDescent="0.3">
      <c r="A212" s="64" t="s">
        <v>94</v>
      </c>
      <c r="B212" s="127" t="s">
        <v>330</v>
      </c>
      <c r="C212" s="60"/>
      <c r="D212" s="218"/>
      <c r="E212" s="80"/>
      <c r="F212" s="119"/>
    </row>
    <row r="213" spans="1:6" s="18" customFormat="1" ht="24.9" customHeight="1" x14ac:dyDescent="0.3">
      <c r="A213" s="66" t="s">
        <v>332</v>
      </c>
      <c r="B213" s="69" t="s">
        <v>709</v>
      </c>
      <c r="C213" s="62" t="s">
        <v>18</v>
      </c>
      <c r="D213" s="70">
        <f>1+1</f>
        <v>2</v>
      </c>
      <c r="E213" s="383"/>
      <c r="F213" s="591"/>
    </row>
    <row r="214" spans="1:6" ht="15" customHeight="1" thickBot="1" x14ac:dyDescent="0.35">
      <c r="A214" s="65"/>
      <c r="B214" s="113"/>
      <c r="C214" s="60"/>
      <c r="D214" s="218"/>
      <c r="E214" s="80"/>
      <c r="F214" s="119"/>
    </row>
    <row r="215" spans="1:6" ht="15" customHeight="1" thickBot="1" x14ac:dyDescent="0.35">
      <c r="A215" s="767" t="s">
        <v>333</v>
      </c>
      <c r="B215" s="768"/>
      <c r="C215" s="768"/>
      <c r="D215" s="768"/>
      <c r="E215" s="768"/>
      <c r="F215" s="586"/>
    </row>
    <row r="216" spans="1:6" ht="15" customHeight="1" x14ac:dyDescent="0.3">
      <c r="A216" s="65"/>
      <c r="B216" s="113"/>
      <c r="C216" s="60"/>
      <c r="D216" s="218"/>
      <c r="E216" s="80"/>
      <c r="F216" s="119"/>
    </row>
    <row r="217" spans="1:6" ht="15" customHeight="1" x14ac:dyDescent="0.3">
      <c r="A217" s="58" t="s">
        <v>334</v>
      </c>
      <c r="B217" s="99" t="s">
        <v>335</v>
      </c>
      <c r="C217" s="4"/>
      <c r="D217" s="24"/>
      <c r="E217" s="174"/>
      <c r="F217" s="98"/>
    </row>
    <row r="218" spans="1:6" ht="15" customHeight="1" x14ac:dyDescent="0.3">
      <c r="A218" s="65"/>
      <c r="B218" s="113"/>
      <c r="C218" s="60"/>
      <c r="D218" s="218"/>
      <c r="E218" s="80"/>
      <c r="F218" s="119"/>
    </row>
    <row r="219" spans="1:6" ht="15" customHeight="1" x14ac:dyDescent="0.3">
      <c r="A219" s="64" t="s">
        <v>69</v>
      </c>
      <c r="B219" s="111" t="s">
        <v>336</v>
      </c>
      <c r="C219" s="60"/>
      <c r="D219" s="218"/>
      <c r="E219" s="80"/>
      <c r="F219" s="119"/>
    </row>
    <row r="220" spans="1:6" ht="15" customHeight="1" x14ac:dyDescent="0.3">
      <c r="A220" s="64" t="s">
        <v>70</v>
      </c>
      <c r="B220" s="127" t="s">
        <v>337</v>
      </c>
      <c r="C220" s="60"/>
      <c r="D220" s="218"/>
      <c r="E220" s="80"/>
      <c r="F220" s="119"/>
    </row>
    <row r="221" spans="1:6" ht="15" customHeight="1" x14ac:dyDescent="0.3">
      <c r="A221" s="65" t="s">
        <v>342</v>
      </c>
      <c r="B221" s="113" t="s">
        <v>671</v>
      </c>
      <c r="C221" s="163" t="s">
        <v>131</v>
      </c>
      <c r="D221" s="131">
        <f>10.97+8.63+14.68+8.79</f>
        <v>43.07</v>
      </c>
      <c r="E221" s="393"/>
      <c r="F221" s="591"/>
    </row>
    <row r="222" spans="1:6" ht="15" customHeight="1" x14ac:dyDescent="0.3">
      <c r="A222" s="65" t="s">
        <v>343</v>
      </c>
      <c r="B222" s="113" t="s">
        <v>338</v>
      </c>
      <c r="C222" s="163" t="s">
        <v>131</v>
      </c>
      <c r="D222" s="131">
        <f>2*2.4</f>
        <v>4.8</v>
      </c>
      <c r="E222" s="393"/>
      <c r="F222" s="591"/>
    </row>
    <row r="223" spans="1:6" ht="15" customHeight="1" x14ac:dyDescent="0.3">
      <c r="A223" s="65" t="s">
        <v>344</v>
      </c>
      <c r="B223" s="113" t="s">
        <v>339</v>
      </c>
      <c r="C223" s="60" t="s">
        <v>15</v>
      </c>
      <c r="D223" s="131">
        <f>+((13.28-0.9)+(15.14-(2*0.9+0.8))+(17.64-(0.9+0.8))+4.58+(2*1.68)+(0.28*4)+(0.18*6))</f>
        <v>50.999999999999993</v>
      </c>
      <c r="E223" s="393"/>
      <c r="F223" s="591"/>
    </row>
    <row r="224" spans="1:6" ht="15" customHeight="1" x14ac:dyDescent="0.3">
      <c r="A224" s="64" t="s">
        <v>345</v>
      </c>
      <c r="B224" s="111" t="s">
        <v>340</v>
      </c>
      <c r="C224" s="60"/>
      <c r="D224" s="131"/>
      <c r="E224" s="393"/>
      <c r="F224" s="591"/>
    </row>
    <row r="225" spans="1:6" ht="15" customHeight="1" x14ac:dyDescent="0.3">
      <c r="A225" s="64" t="s">
        <v>346</v>
      </c>
      <c r="B225" s="127" t="s">
        <v>341</v>
      </c>
      <c r="C225" s="60"/>
      <c r="D225" s="131"/>
      <c r="E225" s="393"/>
      <c r="F225" s="591"/>
    </row>
    <row r="226" spans="1:6" ht="15" customHeight="1" x14ac:dyDescent="0.3">
      <c r="A226" s="65" t="s">
        <v>347</v>
      </c>
      <c r="B226" s="113" t="s">
        <v>429</v>
      </c>
      <c r="C226" s="163" t="s">
        <v>131</v>
      </c>
      <c r="D226" s="131">
        <f>(6.4-0.8)*2.2*2</f>
        <v>24.640000000000004</v>
      </c>
      <c r="E226" s="393"/>
      <c r="F226" s="591"/>
    </row>
    <row r="227" spans="1:6" ht="15" customHeight="1" thickBot="1" x14ac:dyDescent="0.35">
      <c r="A227" s="65"/>
      <c r="B227" s="113"/>
      <c r="C227" s="60"/>
      <c r="D227" s="218"/>
      <c r="E227" s="80"/>
      <c r="F227" s="119"/>
    </row>
    <row r="228" spans="1:6" ht="15" customHeight="1" thickBot="1" x14ac:dyDescent="0.35">
      <c r="A228" s="767" t="s">
        <v>348</v>
      </c>
      <c r="B228" s="768"/>
      <c r="C228" s="768"/>
      <c r="D228" s="768"/>
      <c r="E228" s="768"/>
      <c r="F228" s="586"/>
    </row>
    <row r="229" spans="1:6" ht="15" customHeight="1" x14ac:dyDescent="0.3">
      <c r="A229" s="65"/>
      <c r="B229" s="113"/>
      <c r="C229" s="60"/>
      <c r="D229" s="218"/>
      <c r="E229" s="80"/>
      <c r="F229" s="119"/>
    </row>
    <row r="230" spans="1:6" ht="15" customHeight="1" x14ac:dyDescent="0.3">
      <c r="A230" s="58" t="s">
        <v>349</v>
      </c>
      <c r="B230" s="99" t="s">
        <v>350</v>
      </c>
      <c r="C230" s="4"/>
      <c r="D230" s="24"/>
      <c r="E230" s="174"/>
      <c r="F230" s="98"/>
    </row>
    <row r="231" spans="1:6" ht="15" customHeight="1" x14ac:dyDescent="0.3">
      <c r="A231" s="65"/>
      <c r="B231" s="113"/>
      <c r="C231" s="60"/>
      <c r="D231" s="218"/>
      <c r="E231" s="80"/>
      <c r="F231" s="119"/>
    </row>
    <row r="232" spans="1:6" ht="15" customHeight="1" x14ac:dyDescent="0.3">
      <c r="A232" s="64" t="s">
        <v>32</v>
      </c>
      <c r="B232" s="111" t="s">
        <v>354</v>
      </c>
      <c r="C232" s="60"/>
      <c r="D232" s="218"/>
      <c r="E232" s="80"/>
      <c r="F232" s="119"/>
    </row>
    <row r="233" spans="1:6" ht="15" customHeight="1" x14ac:dyDescent="0.3">
      <c r="A233" s="64" t="s">
        <v>41</v>
      </c>
      <c r="B233" s="127" t="s">
        <v>355</v>
      </c>
      <c r="C233" s="60"/>
      <c r="D233" s="131"/>
      <c r="E233" s="80"/>
      <c r="F233" s="119"/>
    </row>
    <row r="234" spans="1:6" ht="24.9" customHeight="1" x14ac:dyDescent="0.3">
      <c r="A234" s="66" t="s">
        <v>356</v>
      </c>
      <c r="B234" s="69" t="s">
        <v>426</v>
      </c>
      <c r="C234" s="62" t="s">
        <v>18</v>
      </c>
      <c r="D234" s="70">
        <v>1</v>
      </c>
      <c r="E234" s="383"/>
      <c r="F234" s="591"/>
    </row>
    <row r="235" spans="1:6" ht="24.9" customHeight="1" x14ac:dyDescent="0.3">
      <c r="A235" s="66" t="s">
        <v>357</v>
      </c>
      <c r="B235" s="69" t="s">
        <v>362</v>
      </c>
      <c r="C235" s="62" t="s">
        <v>18</v>
      </c>
      <c r="D235" s="70">
        <f>1+1</f>
        <v>2</v>
      </c>
      <c r="E235" s="383"/>
      <c r="F235" s="591"/>
    </row>
    <row r="236" spans="1:6" ht="24.9" customHeight="1" x14ac:dyDescent="0.3">
      <c r="A236" s="66" t="s">
        <v>427</v>
      </c>
      <c r="B236" s="69" t="s">
        <v>363</v>
      </c>
      <c r="C236" s="60" t="s">
        <v>18</v>
      </c>
      <c r="D236" s="131">
        <f>1+1</f>
        <v>2</v>
      </c>
      <c r="E236" s="393"/>
      <c r="F236" s="591"/>
    </row>
    <row r="237" spans="1:6" ht="15" customHeight="1" x14ac:dyDescent="0.3">
      <c r="A237" s="64" t="s">
        <v>33</v>
      </c>
      <c r="B237" s="127" t="s">
        <v>358</v>
      </c>
      <c r="C237" s="60" t="s">
        <v>6</v>
      </c>
      <c r="D237" s="219"/>
      <c r="E237" s="393"/>
      <c r="F237" s="591"/>
    </row>
    <row r="238" spans="1:6" ht="24.9" customHeight="1" x14ac:dyDescent="0.3">
      <c r="A238" s="66" t="s">
        <v>359</v>
      </c>
      <c r="B238" s="69" t="s">
        <v>353</v>
      </c>
      <c r="C238" s="62" t="s">
        <v>18</v>
      </c>
      <c r="D238" s="70">
        <v>5</v>
      </c>
      <c r="E238" s="383"/>
      <c r="F238" s="591"/>
    </row>
    <row r="239" spans="1:6" ht="24.9" customHeight="1" x14ac:dyDescent="0.3">
      <c r="A239" s="66" t="s">
        <v>360</v>
      </c>
      <c r="B239" s="69" t="s">
        <v>352</v>
      </c>
      <c r="C239" s="62" t="s">
        <v>18</v>
      </c>
      <c r="D239" s="70">
        <v>1</v>
      </c>
      <c r="E239" s="383"/>
      <c r="F239" s="591"/>
    </row>
    <row r="240" spans="1:6" ht="24.9" customHeight="1" x14ac:dyDescent="0.3">
      <c r="A240" s="66" t="s">
        <v>361</v>
      </c>
      <c r="B240" s="69" t="s">
        <v>351</v>
      </c>
      <c r="C240" s="62" t="s">
        <v>18</v>
      </c>
      <c r="D240" s="70">
        <v>2</v>
      </c>
      <c r="E240" s="383"/>
      <c r="F240" s="591"/>
    </row>
    <row r="241" spans="1:6" ht="15" customHeight="1" x14ac:dyDescent="0.3">
      <c r="A241" s="64" t="s">
        <v>34</v>
      </c>
      <c r="B241" s="111" t="s">
        <v>50</v>
      </c>
      <c r="C241" s="60"/>
      <c r="D241" s="131"/>
      <c r="E241" s="393"/>
      <c r="F241" s="591"/>
    </row>
    <row r="242" spans="1:6" ht="24.9" customHeight="1" x14ac:dyDescent="0.3">
      <c r="A242" s="65" t="s">
        <v>68</v>
      </c>
      <c r="B242" s="69" t="s">
        <v>364</v>
      </c>
      <c r="C242" s="163" t="s">
        <v>131</v>
      </c>
      <c r="D242" s="70">
        <f>2*2.8</f>
        <v>5.6</v>
      </c>
      <c r="E242" s="383"/>
      <c r="F242" s="591"/>
    </row>
    <row r="243" spans="1:6" ht="15" customHeight="1" thickBot="1" x14ac:dyDescent="0.35">
      <c r="A243" s="23"/>
      <c r="B243" s="137"/>
      <c r="C243" s="30"/>
      <c r="D243" s="138"/>
      <c r="E243" s="27"/>
      <c r="F243" s="35"/>
    </row>
    <row r="244" spans="1:6" ht="15" customHeight="1" thickBot="1" x14ac:dyDescent="0.35">
      <c r="A244" s="767" t="s">
        <v>366</v>
      </c>
      <c r="B244" s="768"/>
      <c r="C244" s="768"/>
      <c r="D244" s="768"/>
      <c r="E244" s="768"/>
      <c r="F244" s="586"/>
    </row>
    <row r="245" spans="1:6" ht="15" customHeight="1" x14ac:dyDescent="0.3">
      <c r="A245" s="20"/>
      <c r="B245" s="15"/>
      <c r="C245" s="4"/>
      <c r="D245" s="220"/>
      <c r="E245" s="9"/>
      <c r="F245" s="7"/>
    </row>
    <row r="246" spans="1:6" ht="15" customHeight="1" x14ac:dyDescent="0.3">
      <c r="A246" s="58" t="s">
        <v>367</v>
      </c>
      <c r="B246" s="99" t="s">
        <v>368</v>
      </c>
      <c r="C246" s="4"/>
      <c r="D246" s="24"/>
      <c r="E246" s="174"/>
      <c r="F246" s="98"/>
    </row>
    <row r="247" spans="1:6" ht="15" customHeight="1" x14ac:dyDescent="0.3">
      <c r="A247" s="20"/>
      <c r="B247" s="15"/>
      <c r="C247" s="4"/>
      <c r="D247" s="220"/>
      <c r="E247" s="9"/>
      <c r="F247" s="7"/>
    </row>
    <row r="248" spans="1:6" ht="15" customHeight="1" x14ac:dyDescent="0.3">
      <c r="A248" s="64" t="s">
        <v>64</v>
      </c>
      <c r="B248" s="111" t="s">
        <v>369</v>
      </c>
      <c r="C248" s="60"/>
      <c r="D248" s="218"/>
      <c r="E248" s="80"/>
      <c r="F248" s="119"/>
    </row>
    <row r="249" spans="1:6" ht="24.9" customHeight="1" x14ac:dyDescent="0.3">
      <c r="A249" s="66" t="s">
        <v>65</v>
      </c>
      <c r="B249" s="69" t="s">
        <v>370</v>
      </c>
      <c r="C249" s="163" t="s">
        <v>131</v>
      </c>
      <c r="D249" s="70">
        <f>+D221</f>
        <v>43.07</v>
      </c>
      <c r="E249" s="383"/>
      <c r="F249" s="591"/>
    </row>
    <row r="250" spans="1:6" ht="15" customHeight="1" x14ac:dyDescent="0.3">
      <c r="A250" s="64" t="s">
        <v>66</v>
      </c>
      <c r="B250" s="111" t="s">
        <v>704</v>
      </c>
      <c r="C250" s="60"/>
      <c r="D250" s="131"/>
      <c r="E250" s="393"/>
      <c r="F250" s="591"/>
    </row>
    <row r="251" spans="1:6" ht="15" customHeight="1" x14ac:dyDescent="0.3">
      <c r="A251" s="66" t="s">
        <v>67</v>
      </c>
      <c r="B251" s="69" t="s">
        <v>707</v>
      </c>
      <c r="C251" s="163" t="s">
        <v>131</v>
      </c>
      <c r="D251" s="70">
        <f>(4*5.89+2*6.78)*0.6</f>
        <v>22.271999999999998</v>
      </c>
      <c r="E251" s="383"/>
      <c r="F251" s="591"/>
    </row>
    <row r="252" spans="1:6" ht="15" customHeight="1" thickBot="1" x14ac:dyDescent="0.35">
      <c r="A252" s="64"/>
      <c r="B252" s="111"/>
      <c r="C252" s="60"/>
      <c r="D252" s="218"/>
      <c r="E252" s="80"/>
      <c r="F252" s="119"/>
    </row>
    <row r="253" spans="1:6" ht="15" customHeight="1" thickBot="1" x14ac:dyDescent="0.35">
      <c r="A253" s="767" t="s">
        <v>371</v>
      </c>
      <c r="B253" s="768"/>
      <c r="C253" s="768"/>
      <c r="D253" s="768"/>
      <c r="E253" s="768"/>
      <c r="F253" s="586"/>
    </row>
    <row r="254" spans="1:6" ht="15" customHeight="1" x14ac:dyDescent="0.3">
      <c r="A254" s="64"/>
      <c r="B254" s="111"/>
      <c r="C254" s="60"/>
      <c r="D254" s="218"/>
      <c r="E254" s="80"/>
      <c r="F254" s="119"/>
    </row>
    <row r="255" spans="1:6" ht="15" customHeight="1" x14ac:dyDescent="0.3">
      <c r="A255" s="58" t="s">
        <v>372</v>
      </c>
      <c r="B255" s="99" t="s">
        <v>373</v>
      </c>
      <c r="C255" s="4"/>
      <c r="D255" s="24"/>
      <c r="E255" s="174"/>
      <c r="F255" s="98"/>
    </row>
    <row r="256" spans="1:6" ht="15" customHeight="1" x14ac:dyDescent="0.3">
      <c r="A256" s="64"/>
      <c r="B256" s="111"/>
      <c r="C256" s="60"/>
      <c r="D256" s="218"/>
      <c r="E256" s="80"/>
      <c r="F256" s="119"/>
    </row>
    <row r="257" spans="1:6" ht="15" customHeight="1" x14ac:dyDescent="0.3">
      <c r="A257" s="64" t="s">
        <v>35</v>
      </c>
      <c r="B257" s="111" t="s">
        <v>374</v>
      </c>
      <c r="C257" s="60" t="s">
        <v>6</v>
      </c>
      <c r="D257" s="131"/>
      <c r="E257" s="80"/>
      <c r="F257" s="119"/>
    </row>
    <row r="258" spans="1:6" ht="15" customHeight="1" x14ac:dyDescent="0.3">
      <c r="A258" s="64" t="s">
        <v>56</v>
      </c>
      <c r="B258" s="127" t="s">
        <v>376</v>
      </c>
      <c r="C258" s="60"/>
      <c r="D258" s="131"/>
      <c r="E258" s="80"/>
      <c r="F258" s="119"/>
    </row>
    <row r="259" spans="1:6" ht="15" customHeight="1" x14ac:dyDescent="0.3">
      <c r="A259" s="65" t="s">
        <v>377</v>
      </c>
      <c r="B259" s="113" t="s">
        <v>375</v>
      </c>
      <c r="C259" s="163" t="s">
        <v>131</v>
      </c>
      <c r="D259" s="131">
        <f>+D71+D72</f>
        <v>278.11599999999999</v>
      </c>
      <c r="E259" s="393"/>
      <c r="F259" s="591"/>
    </row>
    <row r="260" spans="1:6" ht="15" customHeight="1" x14ac:dyDescent="0.3">
      <c r="A260" s="64" t="s">
        <v>36</v>
      </c>
      <c r="B260" s="111" t="s">
        <v>378</v>
      </c>
      <c r="C260" s="60"/>
      <c r="D260" s="131"/>
      <c r="E260" s="393"/>
      <c r="F260" s="591"/>
    </row>
    <row r="261" spans="1:6" ht="15" customHeight="1" x14ac:dyDescent="0.3">
      <c r="A261" s="64" t="s">
        <v>59</v>
      </c>
      <c r="B261" s="127" t="s">
        <v>379</v>
      </c>
      <c r="C261" s="60"/>
      <c r="D261" s="131"/>
      <c r="E261" s="393"/>
      <c r="F261" s="591"/>
    </row>
    <row r="262" spans="1:6" ht="15" customHeight="1" x14ac:dyDescent="0.3">
      <c r="A262" s="65" t="s">
        <v>380</v>
      </c>
      <c r="B262" s="113" t="s">
        <v>383</v>
      </c>
      <c r="C262" s="163" t="s">
        <v>131</v>
      </c>
      <c r="D262" s="131">
        <f>+D72+2*6.4*0.6</f>
        <v>187.96600000000001</v>
      </c>
      <c r="E262" s="393"/>
      <c r="F262" s="591"/>
    </row>
    <row r="263" spans="1:6" ht="15" customHeight="1" x14ac:dyDescent="0.3">
      <c r="A263" s="64" t="s">
        <v>60</v>
      </c>
      <c r="B263" s="127" t="s">
        <v>382</v>
      </c>
      <c r="C263" s="60"/>
      <c r="D263" s="131"/>
      <c r="E263" s="393"/>
      <c r="F263" s="591"/>
    </row>
    <row r="264" spans="1:6" ht="15" customHeight="1" x14ac:dyDescent="0.3">
      <c r="A264" s="65" t="s">
        <v>381</v>
      </c>
      <c r="B264" s="113" t="s">
        <v>384</v>
      </c>
      <c r="C264" s="163" t="s">
        <v>131</v>
      </c>
      <c r="D264" s="131">
        <f>+D71</f>
        <v>97.83</v>
      </c>
      <c r="E264" s="393"/>
      <c r="F264" s="591"/>
    </row>
    <row r="265" spans="1:6" ht="15" customHeight="1" x14ac:dyDescent="0.3">
      <c r="A265" s="64" t="s">
        <v>43</v>
      </c>
      <c r="B265" s="111" t="s">
        <v>385</v>
      </c>
      <c r="C265" s="60"/>
      <c r="D265" s="131"/>
      <c r="E265" s="393"/>
      <c r="F265" s="591"/>
    </row>
    <row r="266" spans="1:6" ht="15" customHeight="1" x14ac:dyDescent="0.3">
      <c r="A266" s="64" t="s">
        <v>61</v>
      </c>
      <c r="B266" s="127" t="s">
        <v>431</v>
      </c>
      <c r="C266" s="60"/>
      <c r="D266" s="131"/>
      <c r="E266" s="393"/>
      <c r="F266" s="591"/>
    </row>
    <row r="267" spans="1:6" ht="15" customHeight="1" x14ac:dyDescent="0.3">
      <c r="A267" s="66" t="s">
        <v>390</v>
      </c>
      <c r="B267" s="69" t="s">
        <v>384</v>
      </c>
      <c r="C267" s="163" t="s">
        <v>131</v>
      </c>
      <c r="D267" s="70">
        <f>2.2*2*(1+2*0.9+2*0.8)+2*(0.03*2*1.14)+0.54*4*0.18*2+2*(0.03*5*2.34)+1.14*4*0.18*5+2*(0.03*2.14)+0.94*4*0.18</f>
        <v>25.885600000000004</v>
      </c>
      <c r="E267" s="383"/>
      <c r="F267" s="591"/>
    </row>
    <row r="268" spans="1:6" ht="15" customHeight="1" x14ac:dyDescent="0.3">
      <c r="A268" s="82" t="s">
        <v>62</v>
      </c>
      <c r="B268" s="130" t="s">
        <v>392</v>
      </c>
      <c r="C268" s="62"/>
      <c r="D268" s="70"/>
      <c r="E268" s="383"/>
      <c r="F268" s="591"/>
    </row>
    <row r="269" spans="1:6" ht="15" customHeight="1" x14ac:dyDescent="0.3">
      <c r="A269" s="66" t="s">
        <v>391</v>
      </c>
      <c r="B269" s="69" t="s">
        <v>383</v>
      </c>
      <c r="C269" s="163" t="s">
        <v>131</v>
      </c>
      <c r="D269" s="70">
        <f>+D249+D251+(4*5.89+2*6.78)*0.3</f>
        <v>76.477999999999994</v>
      </c>
      <c r="E269" s="383"/>
      <c r="F269" s="591"/>
    </row>
    <row r="270" spans="1:6" ht="15" customHeight="1" x14ac:dyDescent="0.3">
      <c r="A270" s="64" t="s">
        <v>63</v>
      </c>
      <c r="B270" s="127" t="s">
        <v>388</v>
      </c>
      <c r="C270" s="60"/>
      <c r="D270" s="131"/>
      <c r="E270" s="393"/>
      <c r="F270" s="591"/>
    </row>
    <row r="271" spans="1:6" ht="15" customHeight="1" x14ac:dyDescent="0.3">
      <c r="A271" s="65" t="s">
        <v>394</v>
      </c>
      <c r="B271" s="69" t="s">
        <v>683</v>
      </c>
      <c r="C271" s="163" t="s">
        <v>131</v>
      </c>
      <c r="D271" s="131">
        <f>+D99+D100+D101</f>
        <v>12.759999999999998</v>
      </c>
      <c r="E271" s="393"/>
      <c r="F271" s="591"/>
    </row>
    <row r="272" spans="1:6" s="613" customFormat="1" ht="15" customHeight="1" x14ac:dyDescent="0.3">
      <c r="A272" s="65" t="s">
        <v>603</v>
      </c>
      <c r="B272" s="399" t="s">
        <v>710</v>
      </c>
      <c r="C272" s="163" t="s">
        <v>131</v>
      </c>
      <c r="D272" s="212">
        <f>+D271</f>
        <v>12.759999999999998</v>
      </c>
      <c r="E272" s="401"/>
      <c r="F272" s="590"/>
    </row>
    <row r="273" spans="1:6" ht="15" customHeight="1" x14ac:dyDescent="0.3">
      <c r="A273" s="396" t="s">
        <v>487</v>
      </c>
      <c r="B273" s="111" t="s">
        <v>232</v>
      </c>
      <c r="C273" s="60"/>
      <c r="D273" s="392"/>
      <c r="E273" s="393"/>
      <c r="F273" s="591"/>
    </row>
    <row r="274" spans="1:6" ht="24.9" customHeight="1" x14ac:dyDescent="0.3">
      <c r="A274" s="410" t="s">
        <v>488</v>
      </c>
      <c r="B274" s="69" t="s">
        <v>712</v>
      </c>
      <c r="C274" s="62" t="s">
        <v>54</v>
      </c>
      <c r="D274" s="387">
        <v>1</v>
      </c>
      <c r="E274" s="383"/>
      <c r="F274" s="591"/>
    </row>
    <row r="275" spans="1:6" ht="15" customHeight="1" thickBot="1" x14ac:dyDescent="0.35">
      <c r="A275" s="77"/>
      <c r="B275" s="81"/>
      <c r="C275" s="139"/>
      <c r="D275" s="206"/>
      <c r="E275" s="207"/>
      <c r="F275" s="121"/>
    </row>
    <row r="276" spans="1:6" ht="15" customHeight="1" thickBot="1" x14ac:dyDescent="0.35">
      <c r="A276" s="767" t="s">
        <v>395</v>
      </c>
      <c r="B276" s="768"/>
      <c r="C276" s="768"/>
      <c r="D276" s="768"/>
      <c r="E276" s="768"/>
      <c r="F276" s="586"/>
    </row>
    <row r="277" spans="1:6" ht="15" customHeight="1" x14ac:dyDescent="0.3">
      <c r="A277" s="140"/>
      <c r="B277" s="141"/>
      <c r="C277" s="141"/>
      <c r="D277" s="141"/>
      <c r="E277" s="141"/>
      <c r="F277" s="118"/>
    </row>
    <row r="278" spans="1:6" ht="15" customHeight="1" x14ac:dyDescent="0.3">
      <c r="A278" s="58" t="s">
        <v>396</v>
      </c>
      <c r="B278" s="99" t="s">
        <v>397</v>
      </c>
      <c r="C278" s="4"/>
      <c r="D278" s="24"/>
      <c r="E278" s="174"/>
      <c r="F278" s="98"/>
    </row>
    <row r="279" spans="1:6" s="479" customFormat="1" ht="15" customHeight="1" x14ac:dyDescent="0.3">
      <c r="A279" s="64"/>
      <c r="B279" s="111"/>
      <c r="C279" s="60"/>
      <c r="D279" s="218"/>
      <c r="E279" s="80"/>
      <c r="F279" s="119"/>
    </row>
    <row r="280" spans="1:6" s="504" customFormat="1" ht="15" customHeight="1" x14ac:dyDescent="0.3">
      <c r="A280" s="64" t="s">
        <v>400</v>
      </c>
      <c r="B280" s="111" t="s">
        <v>398</v>
      </c>
      <c r="C280" s="60" t="s">
        <v>6</v>
      </c>
      <c r="D280" s="131"/>
      <c r="E280" s="80"/>
      <c r="F280" s="119"/>
    </row>
    <row r="281" spans="1:6" s="504" customFormat="1" ht="15" customHeight="1" x14ac:dyDescent="0.3">
      <c r="A281" s="64" t="s">
        <v>401</v>
      </c>
      <c r="B281" s="127" t="s">
        <v>399</v>
      </c>
      <c r="C281" s="60"/>
      <c r="D281" s="131"/>
      <c r="E281" s="80"/>
      <c r="F281" s="119"/>
    </row>
    <row r="282" spans="1:6" ht="24.9" customHeight="1" x14ac:dyDescent="0.3">
      <c r="A282" s="66" t="s">
        <v>402</v>
      </c>
      <c r="B282" s="69" t="s">
        <v>725</v>
      </c>
      <c r="C282" s="163" t="s">
        <v>137</v>
      </c>
      <c r="D282" s="70">
        <f>0.15*0.1*12*6.78</f>
        <v>1.2203999999999999</v>
      </c>
      <c r="E282" s="383"/>
      <c r="F282" s="591"/>
    </row>
    <row r="283" spans="1:6" ht="24.9" customHeight="1" x14ac:dyDescent="0.3">
      <c r="A283" s="65" t="s">
        <v>403</v>
      </c>
      <c r="B283" s="69" t="s">
        <v>716</v>
      </c>
      <c r="C283" s="62" t="s">
        <v>15</v>
      </c>
      <c r="D283" s="70">
        <f>4*5.89+2*6.78</f>
        <v>37.119999999999997</v>
      </c>
      <c r="E283" s="383"/>
      <c r="F283" s="591"/>
    </row>
    <row r="284" spans="1:6" ht="15" customHeight="1" thickBot="1" x14ac:dyDescent="0.35">
      <c r="A284" s="68"/>
      <c r="B284" s="132"/>
      <c r="C284" s="142"/>
      <c r="D284" s="221"/>
      <c r="E284" s="222"/>
      <c r="F284" s="143"/>
    </row>
    <row r="285" spans="1:6" ht="15" customHeight="1" thickBot="1" x14ac:dyDescent="0.35">
      <c r="A285" s="767" t="s">
        <v>404</v>
      </c>
      <c r="B285" s="768"/>
      <c r="C285" s="768"/>
      <c r="D285" s="768"/>
      <c r="E285" s="768"/>
      <c r="F285" s="586"/>
    </row>
    <row r="286" spans="1:6" ht="15" customHeight="1" x14ac:dyDescent="0.3">
      <c r="A286" s="140"/>
      <c r="B286" s="141"/>
      <c r="C286" s="141"/>
      <c r="D286" s="141"/>
      <c r="E286" s="141"/>
      <c r="F286" s="118"/>
    </row>
    <row r="287" spans="1:6" ht="15" customHeight="1" x14ac:dyDescent="0.3">
      <c r="A287" s="58" t="s">
        <v>405</v>
      </c>
      <c r="B287" s="99" t="s">
        <v>408</v>
      </c>
      <c r="C287" s="4"/>
      <c r="D287" s="24"/>
      <c r="E287" s="223"/>
      <c r="F287" s="617"/>
    </row>
    <row r="288" spans="1:6" ht="15" customHeight="1" x14ac:dyDescent="0.3">
      <c r="A288" s="64"/>
      <c r="B288" s="111"/>
      <c r="C288" s="60"/>
      <c r="D288" s="218"/>
      <c r="E288" s="80"/>
      <c r="F288" s="119"/>
    </row>
    <row r="289" spans="1:6" ht="15" customHeight="1" x14ac:dyDescent="0.3">
      <c r="A289" s="64" t="s">
        <v>46</v>
      </c>
      <c r="B289" s="111" t="s">
        <v>409</v>
      </c>
      <c r="C289" s="60" t="s">
        <v>6</v>
      </c>
      <c r="D289" s="131"/>
      <c r="E289" s="80"/>
      <c r="F289" s="119"/>
    </row>
    <row r="290" spans="1:6" ht="15" customHeight="1" x14ac:dyDescent="0.3">
      <c r="A290" s="64" t="s">
        <v>55</v>
      </c>
      <c r="B290" s="127" t="s">
        <v>538</v>
      </c>
      <c r="C290" s="60"/>
      <c r="D290" s="131"/>
      <c r="E290" s="80"/>
      <c r="F290" s="119"/>
    </row>
    <row r="291" spans="1:6" ht="15" customHeight="1" x14ac:dyDescent="0.3">
      <c r="A291" s="66" t="s">
        <v>406</v>
      </c>
      <c r="B291" s="69" t="s">
        <v>433</v>
      </c>
      <c r="C291" s="163" t="s">
        <v>131</v>
      </c>
      <c r="D291" s="70">
        <f>2*(6.1*6.78)</f>
        <v>82.715999999999994</v>
      </c>
      <c r="E291" s="383"/>
      <c r="F291" s="591"/>
    </row>
    <row r="292" spans="1:6" ht="15" customHeight="1" x14ac:dyDescent="0.3">
      <c r="A292" s="65" t="s">
        <v>407</v>
      </c>
      <c r="B292" s="69" t="s">
        <v>434</v>
      </c>
      <c r="C292" s="62" t="s">
        <v>15</v>
      </c>
      <c r="D292" s="70">
        <v>6.78</v>
      </c>
      <c r="E292" s="383"/>
      <c r="F292" s="591"/>
    </row>
    <row r="293" spans="1:6" ht="15" customHeight="1" thickBot="1" x14ac:dyDescent="0.35">
      <c r="A293" s="68"/>
      <c r="B293" s="132"/>
      <c r="C293" s="142"/>
      <c r="D293" s="221"/>
      <c r="E293" s="222"/>
      <c r="F293" s="143"/>
    </row>
    <row r="294" spans="1:6" ht="15" customHeight="1" thickBot="1" x14ac:dyDescent="0.35">
      <c r="A294" s="767" t="s">
        <v>410</v>
      </c>
      <c r="B294" s="768"/>
      <c r="C294" s="768"/>
      <c r="D294" s="768"/>
      <c r="E294" s="768"/>
      <c r="F294" s="586"/>
    </row>
    <row r="295" spans="1:6" ht="15" customHeight="1" thickBot="1" x14ac:dyDescent="0.35">
      <c r="A295" s="31"/>
      <c r="B295" s="144"/>
      <c r="C295" s="13"/>
      <c r="D295" s="145"/>
      <c r="E295" s="14"/>
      <c r="F295" s="146"/>
    </row>
    <row r="296" spans="1:6" ht="24.9" customHeight="1" thickTop="1" thickBot="1" x14ac:dyDescent="0.35">
      <c r="A296" s="802" t="s">
        <v>689</v>
      </c>
      <c r="B296" s="803"/>
      <c r="C296" s="803"/>
      <c r="D296" s="803"/>
      <c r="E296" s="818"/>
      <c r="F296" s="819"/>
    </row>
    <row r="297" spans="1:6" ht="15" customHeight="1" thickTop="1" x14ac:dyDescent="0.3">
      <c r="A297" s="22"/>
      <c r="B297" s="1"/>
      <c r="C297" s="1"/>
      <c r="D297" s="1"/>
      <c r="E297" s="1"/>
      <c r="F297" s="1"/>
    </row>
    <row r="298" spans="1:6" ht="15" customHeight="1" thickBot="1" x14ac:dyDescent="0.35">
      <c r="A298" s="22"/>
      <c r="B298" s="1"/>
      <c r="C298" s="1"/>
      <c r="D298" s="1"/>
      <c r="E298" s="1"/>
      <c r="F298" s="1"/>
    </row>
    <row r="299" spans="1:6" ht="30" customHeight="1" x14ac:dyDescent="0.3">
      <c r="A299" s="775" t="s">
        <v>708</v>
      </c>
      <c r="B299" s="776"/>
      <c r="C299" s="776"/>
      <c r="D299" s="776"/>
      <c r="E299" s="776"/>
      <c r="F299" s="777"/>
    </row>
    <row r="300" spans="1:6" ht="15" customHeight="1" thickBot="1" x14ac:dyDescent="0.35">
      <c r="A300" s="149"/>
      <c r="B300" s="150"/>
      <c r="C300" s="150"/>
      <c r="D300" s="150"/>
      <c r="E300" s="150"/>
      <c r="F300" s="151"/>
    </row>
    <row r="301" spans="1:6" ht="24.9" customHeight="1" thickTop="1" thickBot="1" x14ac:dyDescent="0.35">
      <c r="A301" s="153" t="s">
        <v>38</v>
      </c>
      <c r="B301" s="778" t="s">
        <v>39</v>
      </c>
      <c r="C301" s="778"/>
      <c r="D301" s="778"/>
      <c r="E301" s="778" t="s">
        <v>411</v>
      </c>
      <c r="F301" s="787"/>
    </row>
    <row r="302" spans="1:6" ht="15" customHeight="1" thickTop="1" x14ac:dyDescent="0.3">
      <c r="A302" s="152"/>
      <c r="B302" s="779"/>
      <c r="C302" s="779"/>
      <c r="D302" s="779"/>
      <c r="E302" s="788"/>
      <c r="F302" s="789"/>
    </row>
    <row r="303" spans="1:6" ht="15" customHeight="1" x14ac:dyDescent="0.3">
      <c r="A303" s="224" t="s">
        <v>143</v>
      </c>
      <c r="B303" s="773" t="s">
        <v>95</v>
      </c>
      <c r="C303" s="773"/>
      <c r="D303" s="773"/>
      <c r="E303" s="800"/>
      <c r="F303" s="801"/>
    </row>
    <row r="304" spans="1:6" ht="15" customHeight="1" x14ac:dyDescent="0.3">
      <c r="A304" s="225" t="s">
        <v>144</v>
      </c>
      <c r="B304" s="774" t="s">
        <v>100</v>
      </c>
      <c r="C304" s="774"/>
      <c r="D304" s="774"/>
      <c r="E304" s="806"/>
      <c r="F304" s="807"/>
    </row>
    <row r="305" spans="1:6" ht="15" customHeight="1" x14ac:dyDescent="0.3">
      <c r="A305" s="226" t="s">
        <v>136</v>
      </c>
      <c r="B305" s="808" t="s">
        <v>103</v>
      </c>
      <c r="C305" s="808"/>
      <c r="D305" s="808"/>
      <c r="E305" s="809"/>
      <c r="F305" s="810"/>
    </row>
    <row r="306" spans="1:6" ht="15" customHeight="1" x14ac:dyDescent="0.3">
      <c r="A306" s="226" t="s">
        <v>176</v>
      </c>
      <c r="B306" s="808" t="s">
        <v>177</v>
      </c>
      <c r="C306" s="808"/>
      <c r="D306" s="808"/>
      <c r="E306" s="809"/>
      <c r="F306" s="810"/>
    </row>
    <row r="307" spans="1:6" ht="15" customHeight="1" x14ac:dyDescent="0.3">
      <c r="A307" s="226" t="s">
        <v>182</v>
      </c>
      <c r="B307" s="808" t="s">
        <v>656</v>
      </c>
      <c r="C307" s="808"/>
      <c r="D307" s="808"/>
      <c r="E307" s="809"/>
      <c r="F307" s="810"/>
    </row>
    <row r="308" spans="1:6" ht="15" customHeight="1" x14ac:dyDescent="0.3">
      <c r="A308" s="226" t="s">
        <v>183</v>
      </c>
      <c r="B308" s="808" t="s">
        <v>184</v>
      </c>
      <c r="C308" s="808"/>
      <c r="D308" s="808"/>
      <c r="E308" s="809"/>
      <c r="F308" s="810"/>
    </row>
    <row r="309" spans="1:6" ht="15" customHeight="1" x14ac:dyDescent="0.3">
      <c r="A309" s="226" t="s">
        <v>195</v>
      </c>
      <c r="B309" s="808" t="s">
        <v>196</v>
      </c>
      <c r="C309" s="808"/>
      <c r="D309" s="808"/>
      <c r="E309" s="809"/>
      <c r="F309" s="810"/>
    </row>
    <row r="310" spans="1:6" ht="15" customHeight="1" x14ac:dyDescent="0.3">
      <c r="A310" s="226" t="s">
        <v>226</v>
      </c>
      <c r="B310" s="808" t="s">
        <v>227</v>
      </c>
      <c r="C310" s="808"/>
      <c r="D310" s="808"/>
      <c r="E310" s="809"/>
      <c r="F310" s="810"/>
    </row>
    <row r="311" spans="1:6" ht="15" customHeight="1" x14ac:dyDescent="0.3">
      <c r="A311" s="226" t="s">
        <v>249</v>
      </c>
      <c r="B311" s="808" t="s">
        <v>250</v>
      </c>
      <c r="C311" s="808"/>
      <c r="D311" s="808"/>
      <c r="E311" s="809"/>
      <c r="F311" s="810"/>
    </row>
    <row r="312" spans="1:6" ht="15" customHeight="1" x14ac:dyDescent="0.3">
      <c r="A312" s="226" t="s">
        <v>292</v>
      </c>
      <c r="B312" s="808" t="s">
        <v>293</v>
      </c>
      <c r="C312" s="808"/>
      <c r="D312" s="808"/>
      <c r="E312" s="809"/>
      <c r="F312" s="810"/>
    </row>
    <row r="313" spans="1:6" ht="15" customHeight="1" x14ac:dyDescent="0.3">
      <c r="A313" s="226" t="s">
        <v>309</v>
      </c>
      <c r="B313" s="808" t="s">
        <v>310</v>
      </c>
      <c r="C313" s="808"/>
      <c r="D313" s="808"/>
      <c r="E313" s="809"/>
      <c r="F313" s="810"/>
    </row>
    <row r="314" spans="1:6" ht="15" customHeight="1" x14ac:dyDescent="0.3">
      <c r="A314" s="226" t="s">
        <v>327</v>
      </c>
      <c r="B314" s="808" t="s">
        <v>328</v>
      </c>
      <c r="C314" s="808"/>
      <c r="D314" s="808"/>
      <c r="E314" s="809"/>
      <c r="F314" s="810"/>
    </row>
    <row r="315" spans="1:6" ht="15" customHeight="1" x14ac:dyDescent="0.3">
      <c r="A315" s="226" t="s">
        <v>334</v>
      </c>
      <c r="B315" s="808" t="s">
        <v>335</v>
      </c>
      <c r="C315" s="808"/>
      <c r="D315" s="808"/>
      <c r="E315" s="809"/>
      <c r="F315" s="810"/>
    </row>
    <row r="316" spans="1:6" ht="15" customHeight="1" x14ac:dyDescent="0.3">
      <c r="A316" s="226" t="s">
        <v>349</v>
      </c>
      <c r="B316" s="808" t="s">
        <v>350</v>
      </c>
      <c r="C316" s="808"/>
      <c r="D316" s="808"/>
      <c r="E316" s="809"/>
      <c r="F316" s="810"/>
    </row>
    <row r="317" spans="1:6" ht="15" customHeight="1" x14ac:dyDescent="0.3">
      <c r="A317" s="226" t="s">
        <v>367</v>
      </c>
      <c r="B317" s="808" t="s">
        <v>368</v>
      </c>
      <c r="C317" s="808"/>
      <c r="D317" s="808"/>
      <c r="E317" s="809"/>
      <c r="F317" s="810"/>
    </row>
    <row r="318" spans="1:6" ht="15" customHeight="1" x14ac:dyDescent="0.3">
      <c r="A318" s="226" t="s">
        <v>372</v>
      </c>
      <c r="B318" s="808" t="s">
        <v>373</v>
      </c>
      <c r="C318" s="808"/>
      <c r="D318" s="808"/>
      <c r="E318" s="809"/>
      <c r="F318" s="810"/>
    </row>
    <row r="319" spans="1:6" ht="15" customHeight="1" x14ac:dyDescent="0.3">
      <c r="A319" s="226" t="s">
        <v>396</v>
      </c>
      <c r="B319" s="808" t="s">
        <v>397</v>
      </c>
      <c r="C319" s="808"/>
      <c r="D319" s="808"/>
      <c r="E319" s="809"/>
      <c r="F319" s="810"/>
    </row>
    <row r="320" spans="1:6" ht="15" customHeight="1" x14ac:dyDescent="0.3">
      <c r="A320" s="226" t="s">
        <v>405</v>
      </c>
      <c r="B320" s="808" t="s">
        <v>408</v>
      </c>
      <c r="C320" s="808"/>
      <c r="D320" s="808"/>
      <c r="E320" s="809"/>
      <c r="F320" s="810"/>
    </row>
    <row r="321" spans="1:6" ht="15" customHeight="1" thickBot="1" x14ac:dyDescent="0.35">
      <c r="A321" s="159"/>
      <c r="B321" s="815"/>
      <c r="C321" s="815"/>
      <c r="D321" s="815"/>
      <c r="E321" s="816"/>
      <c r="F321" s="817"/>
    </row>
    <row r="322" spans="1:6" ht="24.9" customHeight="1" thickTop="1" thickBot="1" x14ac:dyDescent="0.35">
      <c r="A322" s="811" t="s">
        <v>689</v>
      </c>
      <c r="B322" s="812"/>
      <c r="C322" s="812"/>
      <c r="D322" s="812"/>
      <c r="E322" s="813"/>
      <c r="F322" s="814"/>
    </row>
    <row r="323" spans="1:6" ht="15" thickTop="1" x14ac:dyDescent="0.3">
      <c r="A323" s="22"/>
      <c r="B323" s="1"/>
      <c r="C323" s="1"/>
      <c r="D323" s="1"/>
      <c r="E323" s="1"/>
      <c r="F323" s="1"/>
    </row>
  </sheetData>
  <mergeCells count="69">
    <mergeCell ref="B320:D320"/>
    <mergeCell ref="E320:F320"/>
    <mergeCell ref="B321:D321"/>
    <mergeCell ref="E321:F321"/>
    <mergeCell ref="E322:F322"/>
    <mergeCell ref="B314:D314"/>
    <mergeCell ref="E314:F314"/>
    <mergeCell ref="B315:D315"/>
    <mergeCell ref="E315:F315"/>
    <mergeCell ref="B316:D316"/>
    <mergeCell ref="B317:D317"/>
    <mergeCell ref="E317:F317"/>
    <mergeCell ref="B318:D318"/>
    <mergeCell ref="E318:F318"/>
    <mergeCell ref="B319:D319"/>
    <mergeCell ref="E319:F319"/>
    <mergeCell ref="B311:D311"/>
    <mergeCell ref="E311:F311"/>
    <mergeCell ref="B312:D312"/>
    <mergeCell ref="E312:F312"/>
    <mergeCell ref="B313:D313"/>
    <mergeCell ref="E313:F313"/>
    <mergeCell ref="A2:F2"/>
    <mergeCell ref="A3:F3"/>
    <mergeCell ref="A13:E13"/>
    <mergeCell ref="A29:E29"/>
    <mergeCell ref="A52:E52"/>
    <mergeCell ref="A77:E77"/>
    <mergeCell ref="A79:E79"/>
    <mergeCell ref="A87:E87"/>
    <mergeCell ref="A94:E94"/>
    <mergeCell ref="A103:E103"/>
    <mergeCell ref="A131:E131"/>
    <mergeCell ref="A147:E147"/>
    <mergeCell ref="A181:E181"/>
    <mergeCell ref="A193:E193"/>
    <mergeCell ref="A207:E207"/>
    <mergeCell ref="A215:E215"/>
    <mergeCell ref="A228:E228"/>
    <mergeCell ref="A244:E244"/>
    <mergeCell ref="A253:E253"/>
    <mergeCell ref="A276:E276"/>
    <mergeCell ref="A285:E285"/>
    <mergeCell ref="A294:E294"/>
    <mergeCell ref="A296:D296"/>
    <mergeCell ref="E296:F296"/>
    <mergeCell ref="A299:F299"/>
    <mergeCell ref="B301:D301"/>
    <mergeCell ref="E301:F301"/>
    <mergeCell ref="B302:D302"/>
    <mergeCell ref="E302:F302"/>
    <mergeCell ref="B303:D303"/>
    <mergeCell ref="E303:F303"/>
    <mergeCell ref="B307:D307"/>
    <mergeCell ref="E307:F307"/>
    <mergeCell ref="A322:D322"/>
    <mergeCell ref="B304:D304"/>
    <mergeCell ref="E304:F304"/>
    <mergeCell ref="B305:D305"/>
    <mergeCell ref="E305:F305"/>
    <mergeCell ref="B306:D306"/>
    <mergeCell ref="E306:F306"/>
    <mergeCell ref="B308:D308"/>
    <mergeCell ref="E308:F308"/>
    <mergeCell ref="B309:D309"/>
    <mergeCell ref="E309:F309"/>
    <mergeCell ref="B310:D310"/>
    <mergeCell ref="E310:F310"/>
    <mergeCell ref="E316:F31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8"/>
  <sheetViews>
    <sheetView topLeftCell="A137" workbookViewId="0">
      <selection activeCell="E167" sqref="E167:F167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"/>
      <c r="B1" s="1"/>
      <c r="C1" s="1"/>
      <c r="D1" s="1"/>
      <c r="E1" s="1"/>
      <c r="F1" s="1"/>
    </row>
    <row r="2" spans="1:6" ht="15.6" x14ac:dyDescent="0.3">
      <c r="A2" s="820" t="s">
        <v>570</v>
      </c>
      <c r="B2" s="820"/>
      <c r="C2" s="820"/>
      <c r="D2" s="820"/>
      <c r="E2" s="820"/>
      <c r="F2" s="820"/>
    </row>
    <row r="3" spans="1:6" ht="15.6" x14ac:dyDescent="0.3">
      <c r="A3" s="820" t="s">
        <v>498</v>
      </c>
      <c r="B3" s="820"/>
      <c r="C3" s="820"/>
      <c r="D3" s="820"/>
      <c r="E3" s="820"/>
      <c r="F3" s="820"/>
    </row>
    <row r="4" spans="1:6" ht="15" thickBot="1" x14ac:dyDescent="0.35">
      <c r="A4" s="53"/>
      <c r="B4" s="45"/>
      <c r="C4" s="45"/>
      <c r="D4" s="46"/>
      <c r="E4" s="47"/>
      <c r="F4" s="45"/>
    </row>
    <row r="5" spans="1:6" ht="24.9" customHeight="1" thickTop="1" thickBot="1" x14ac:dyDescent="0.35">
      <c r="A5" s="154" t="s">
        <v>38</v>
      </c>
      <c r="B5" s="155" t="s">
        <v>0</v>
      </c>
      <c r="C5" s="155" t="s">
        <v>1</v>
      </c>
      <c r="D5" s="156" t="s">
        <v>83</v>
      </c>
      <c r="E5" s="157" t="s">
        <v>104</v>
      </c>
      <c r="F5" s="158" t="s">
        <v>2</v>
      </c>
    </row>
    <row r="6" spans="1:6" ht="15" customHeight="1" thickTop="1" x14ac:dyDescent="0.3">
      <c r="A6" s="75"/>
      <c r="B6" s="90"/>
      <c r="C6" s="40"/>
      <c r="D6" s="88"/>
      <c r="E6" s="41"/>
      <c r="F6" s="89"/>
    </row>
    <row r="7" spans="1:6" ht="15" customHeight="1" x14ac:dyDescent="0.3">
      <c r="A7" s="56" t="s">
        <v>143</v>
      </c>
      <c r="B7" s="87" t="s">
        <v>95</v>
      </c>
      <c r="C7" s="40"/>
      <c r="D7" s="88"/>
      <c r="E7" s="41"/>
      <c r="F7" s="89"/>
    </row>
    <row r="8" spans="1:6" ht="15" customHeight="1" x14ac:dyDescent="0.3">
      <c r="A8" s="75"/>
      <c r="B8" s="90"/>
      <c r="C8" s="40"/>
      <c r="D8" s="88"/>
      <c r="E8" s="41"/>
      <c r="F8" s="89"/>
    </row>
    <row r="9" spans="1:6" s="468" customFormat="1" ht="15" customHeight="1" x14ac:dyDescent="0.3">
      <c r="A9" s="42" t="s">
        <v>96</v>
      </c>
      <c r="B9" s="91" t="s">
        <v>552</v>
      </c>
      <c r="C9" s="50"/>
      <c r="D9" s="92"/>
      <c r="E9" s="51"/>
      <c r="F9" s="93"/>
    </row>
    <row r="10" spans="1:6" s="468" customFormat="1" ht="15" customHeight="1" x14ac:dyDescent="0.3">
      <c r="A10" s="43" t="s">
        <v>97</v>
      </c>
      <c r="B10" s="94" t="s">
        <v>559</v>
      </c>
      <c r="C10" s="161" t="s">
        <v>412</v>
      </c>
      <c r="D10" s="164">
        <f>0.9*2.15*1.2</f>
        <v>2.3220000000000001</v>
      </c>
      <c r="E10" s="602"/>
      <c r="F10" s="603"/>
    </row>
    <row r="11" spans="1:6" s="468" customFormat="1" ht="15" customHeight="1" x14ac:dyDescent="0.3">
      <c r="A11" s="43" t="s">
        <v>98</v>
      </c>
      <c r="B11" s="94" t="s">
        <v>558</v>
      </c>
      <c r="C11" s="161" t="s">
        <v>412</v>
      </c>
      <c r="D11" s="164">
        <f>3.03*1.2*1.2</f>
        <v>4.3631999999999991</v>
      </c>
      <c r="E11" s="602"/>
      <c r="F11" s="603"/>
    </row>
    <row r="12" spans="1:6" s="468" customFormat="1" ht="15" customHeight="1" x14ac:dyDescent="0.3">
      <c r="A12" s="43" t="s">
        <v>677</v>
      </c>
      <c r="B12" s="94" t="s">
        <v>562</v>
      </c>
      <c r="C12" s="161" t="s">
        <v>412</v>
      </c>
      <c r="D12" s="164">
        <f>+(2*3.03+7.49+5.03)*1*1.1-(0.9*1)</f>
        <v>19.538000000000004</v>
      </c>
      <c r="E12" s="602"/>
      <c r="F12" s="603"/>
    </row>
    <row r="13" spans="1:6" s="468" customFormat="1" ht="15" customHeight="1" x14ac:dyDescent="0.3">
      <c r="A13" s="42" t="s">
        <v>553</v>
      </c>
      <c r="B13" s="91" t="s">
        <v>556</v>
      </c>
      <c r="C13" s="50"/>
      <c r="D13" s="92"/>
      <c r="E13" s="602"/>
      <c r="F13" s="603"/>
    </row>
    <row r="14" spans="1:6" s="468" customFormat="1" ht="15" customHeight="1" x14ac:dyDescent="0.3">
      <c r="A14" s="43" t="s">
        <v>554</v>
      </c>
      <c r="B14" s="94" t="s">
        <v>557</v>
      </c>
      <c r="C14" s="161" t="s">
        <v>412</v>
      </c>
      <c r="D14" s="164">
        <f>(3.03*1.2+0.9*1.2)*1.2</f>
        <v>5.6591999999999993</v>
      </c>
      <c r="E14" s="602"/>
      <c r="F14" s="603"/>
    </row>
    <row r="15" spans="1:6" s="468" customFormat="1" ht="15" customHeight="1" x14ac:dyDescent="0.3">
      <c r="A15" s="43" t="s">
        <v>555</v>
      </c>
      <c r="B15" s="94" t="s">
        <v>567</v>
      </c>
      <c r="C15" s="161" t="s">
        <v>15</v>
      </c>
      <c r="D15" s="164">
        <f>2*(5.03+3.03)*1.2</f>
        <v>19.344000000000001</v>
      </c>
      <c r="E15" s="602"/>
      <c r="F15" s="603"/>
    </row>
    <row r="16" spans="1:6" s="468" customFormat="1" ht="15" customHeight="1" x14ac:dyDescent="0.3">
      <c r="A16" s="43" t="s">
        <v>561</v>
      </c>
      <c r="B16" s="94" t="s">
        <v>565</v>
      </c>
      <c r="C16" s="161" t="s">
        <v>18</v>
      </c>
      <c r="D16" s="164">
        <v>1</v>
      </c>
      <c r="E16" s="602"/>
      <c r="F16" s="603"/>
    </row>
    <row r="17" spans="1:6" s="468" customFormat="1" ht="15" customHeight="1" x14ac:dyDescent="0.3">
      <c r="A17" s="43" t="s">
        <v>678</v>
      </c>
      <c r="B17" s="94" t="s">
        <v>679</v>
      </c>
      <c r="C17" s="161" t="s">
        <v>18</v>
      </c>
      <c r="D17" s="164">
        <v>2</v>
      </c>
      <c r="E17" s="602"/>
      <c r="F17" s="603"/>
    </row>
    <row r="18" spans="1:6" ht="15" customHeight="1" thickBot="1" x14ac:dyDescent="0.35">
      <c r="A18" s="42"/>
      <c r="B18" s="95"/>
      <c r="C18" s="50"/>
      <c r="D18" s="92"/>
      <c r="E18" s="51"/>
      <c r="F18" s="93"/>
    </row>
    <row r="19" spans="1:6" ht="15" customHeight="1" thickBot="1" x14ac:dyDescent="0.35">
      <c r="A19" s="767" t="s">
        <v>189</v>
      </c>
      <c r="B19" s="768"/>
      <c r="C19" s="768"/>
      <c r="D19" s="768"/>
      <c r="E19" s="768"/>
      <c r="F19" s="586"/>
    </row>
    <row r="20" spans="1:6" ht="15" customHeight="1" x14ac:dyDescent="0.3">
      <c r="A20" s="42"/>
      <c r="B20" s="95"/>
      <c r="C20" s="50"/>
      <c r="D20" s="92"/>
      <c r="E20" s="51"/>
      <c r="F20" s="93"/>
    </row>
    <row r="21" spans="1:6" ht="15" customHeight="1" x14ac:dyDescent="0.3">
      <c r="A21" s="57" t="s">
        <v>144</v>
      </c>
      <c r="B21" s="96" t="s">
        <v>100</v>
      </c>
      <c r="C21" s="50"/>
      <c r="D21" s="164"/>
      <c r="E21" s="51"/>
      <c r="F21" s="93"/>
    </row>
    <row r="22" spans="1:6" ht="15" customHeight="1" x14ac:dyDescent="0.3">
      <c r="A22" s="42"/>
      <c r="B22" s="95"/>
      <c r="C22" s="50"/>
      <c r="D22" s="164"/>
      <c r="E22" s="51"/>
      <c r="F22" s="93"/>
    </row>
    <row r="23" spans="1:6" ht="15" customHeight="1" x14ac:dyDescent="0.3">
      <c r="A23" s="44" t="s">
        <v>101</v>
      </c>
      <c r="B23" s="97" t="s">
        <v>110</v>
      </c>
      <c r="C23" s="162"/>
      <c r="D23" s="164"/>
      <c r="E23" s="51"/>
      <c r="F23" s="93"/>
    </row>
    <row r="24" spans="1:6" ht="15" customHeight="1" x14ac:dyDescent="0.3">
      <c r="A24" s="43" t="s">
        <v>102</v>
      </c>
      <c r="B24" s="94" t="s">
        <v>106</v>
      </c>
      <c r="C24" s="161" t="s">
        <v>413</v>
      </c>
      <c r="D24" s="164">
        <f>3.03*0.6*0.6*1.1</f>
        <v>1.1998799999999998</v>
      </c>
      <c r="E24" s="602"/>
      <c r="F24" s="603"/>
    </row>
    <row r="25" spans="1:6" ht="15" customHeight="1" x14ac:dyDescent="0.3">
      <c r="A25" s="44" t="s">
        <v>105</v>
      </c>
      <c r="B25" s="97" t="s">
        <v>111</v>
      </c>
      <c r="C25" s="162"/>
      <c r="D25" s="164"/>
      <c r="E25" s="602"/>
      <c r="F25" s="603"/>
    </row>
    <row r="26" spans="1:6" ht="15" customHeight="1" x14ac:dyDescent="0.3">
      <c r="A26" s="43" t="s">
        <v>109</v>
      </c>
      <c r="B26" s="94" t="s">
        <v>107</v>
      </c>
      <c r="C26" s="161" t="s">
        <v>413</v>
      </c>
      <c r="D26" s="164">
        <f>3.03*0.45*0.25</f>
        <v>0.34087499999999998</v>
      </c>
      <c r="E26" s="602"/>
      <c r="F26" s="603"/>
    </row>
    <row r="27" spans="1:6" ht="15" customHeight="1" x14ac:dyDescent="0.3">
      <c r="A27" s="43" t="s">
        <v>417</v>
      </c>
      <c r="B27" s="94" t="s">
        <v>108</v>
      </c>
      <c r="C27" s="161" t="s">
        <v>412</v>
      </c>
      <c r="D27" s="164">
        <f>0.6*3.03</f>
        <v>1.8179999999999998</v>
      </c>
      <c r="E27" s="602"/>
      <c r="F27" s="603"/>
    </row>
    <row r="28" spans="1:6" ht="15" customHeight="1" thickBot="1" x14ac:dyDescent="0.35">
      <c r="A28" s="43"/>
      <c r="B28" s="94"/>
      <c r="C28" s="50"/>
      <c r="D28" s="164"/>
      <c r="E28" s="51"/>
      <c r="F28" s="93"/>
    </row>
    <row r="29" spans="1:6" ht="15" customHeight="1" thickBot="1" x14ac:dyDescent="0.35">
      <c r="A29" s="821" t="s">
        <v>190</v>
      </c>
      <c r="B29" s="822"/>
      <c r="C29" s="822"/>
      <c r="D29" s="822"/>
      <c r="E29" s="823"/>
      <c r="F29" s="586"/>
    </row>
    <row r="30" spans="1:6" ht="15" customHeight="1" x14ac:dyDescent="0.3">
      <c r="A30" s="170"/>
      <c r="B30" s="171"/>
      <c r="C30" s="172"/>
      <c r="D30" s="173"/>
      <c r="E30" s="174"/>
      <c r="F30" s="98"/>
    </row>
    <row r="31" spans="1:6" ht="15" customHeight="1" x14ac:dyDescent="0.3">
      <c r="A31" s="58" t="s">
        <v>136</v>
      </c>
      <c r="B31" s="99" t="s">
        <v>103</v>
      </c>
      <c r="C31" s="4"/>
      <c r="D31" s="24"/>
      <c r="E31" s="174"/>
      <c r="F31" s="98"/>
    </row>
    <row r="32" spans="1:6" ht="15" customHeight="1" x14ac:dyDescent="0.3">
      <c r="A32" s="20"/>
      <c r="B32" s="100"/>
      <c r="C32" s="4"/>
      <c r="D32" s="24"/>
      <c r="E32" s="174"/>
      <c r="F32" s="98"/>
    </row>
    <row r="33" spans="1:6" ht="15" customHeight="1" x14ac:dyDescent="0.3">
      <c r="A33" s="147" t="s">
        <v>4</v>
      </c>
      <c r="B33" s="175" t="s">
        <v>113</v>
      </c>
      <c r="C33" s="176"/>
      <c r="D33" s="177"/>
      <c r="E33" s="178"/>
      <c r="F33" s="101"/>
    </row>
    <row r="34" spans="1:6" ht="15" customHeight="1" x14ac:dyDescent="0.3">
      <c r="A34" s="147" t="s">
        <v>5</v>
      </c>
      <c r="B34" s="179" t="s">
        <v>114</v>
      </c>
      <c r="C34" s="163" t="s">
        <v>137</v>
      </c>
      <c r="D34" s="180">
        <f>3.03*0.6*0.05</f>
        <v>9.0899999999999995E-2</v>
      </c>
      <c r="E34" s="181"/>
      <c r="F34" s="727"/>
    </row>
    <row r="35" spans="1:6" ht="15" customHeight="1" x14ac:dyDescent="0.3">
      <c r="A35" s="147" t="s">
        <v>9</v>
      </c>
      <c r="B35" s="179" t="s">
        <v>664</v>
      </c>
      <c r="C35" s="163"/>
      <c r="D35" s="182"/>
      <c r="E35" s="181"/>
      <c r="F35" s="727"/>
    </row>
    <row r="36" spans="1:6" ht="15" customHeight="1" x14ac:dyDescent="0.3">
      <c r="A36" s="148" t="s">
        <v>115</v>
      </c>
      <c r="B36" s="183" t="s">
        <v>138</v>
      </c>
      <c r="C36" s="163" t="s">
        <v>137</v>
      </c>
      <c r="D36" s="180">
        <f>3.03*0.25*0.6</f>
        <v>0.45449999999999996</v>
      </c>
      <c r="E36" s="181"/>
      <c r="F36" s="727"/>
    </row>
    <row r="37" spans="1:6" ht="15" customHeight="1" x14ac:dyDescent="0.3">
      <c r="A37" s="148" t="s">
        <v>116</v>
      </c>
      <c r="B37" s="183" t="s">
        <v>657</v>
      </c>
      <c r="C37" s="163" t="s">
        <v>117</v>
      </c>
      <c r="D37" s="180">
        <f>4*3.03*0.394+16*0.76*0.222</f>
        <v>7.4748000000000001</v>
      </c>
      <c r="E37" s="181"/>
      <c r="F37" s="727"/>
    </row>
    <row r="38" spans="1:6" ht="15" customHeight="1" x14ac:dyDescent="0.3">
      <c r="A38" s="147" t="s">
        <v>120</v>
      </c>
      <c r="B38" s="179" t="s">
        <v>665</v>
      </c>
      <c r="C38" s="163"/>
      <c r="D38" s="180"/>
      <c r="E38" s="181"/>
      <c r="F38" s="727"/>
    </row>
    <row r="39" spans="1:6" ht="15" customHeight="1" x14ac:dyDescent="0.3">
      <c r="A39" s="148" t="s">
        <v>122</v>
      </c>
      <c r="B39" s="183" t="s">
        <v>138</v>
      </c>
      <c r="C39" s="163" t="s">
        <v>137</v>
      </c>
      <c r="D39" s="180">
        <f>0.6*0.15*0.15*3</f>
        <v>4.0500000000000001E-2</v>
      </c>
      <c r="E39" s="181"/>
      <c r="F39" s="727"/>
    </row>
    <row r="40" spans="1:6" ht="15" customHeight="1" x14ac:dyDescent="0.3">
      <c r="A40" s="148" t="s">
        <v>123</v>
      </c>
      <c r="B40" s="183" t="s">
        <v>657</v>
      </c>
      <c r="C40" s="163" t="s">
        <v>117</v>
      </c>
      <c r="D40" s="184">
        <f>0.6*4*0.394+0.5*4*0.222</f>
        <v>1.3895999999999999</v>
      </c>
      <c r="E40" s="181"/>
      <c r="F40" s="727"/>
    </row>
    <row r="41" spans="1:6" ht="15" customHeight="1" x14ac:dyDescent="0.3">
      <c r="A41" s="148" t="s">
        <v>124</v>
      </c>
      <c r="B41" s="183" t="s">
        <v>118</v>
      </c>
      <c r="C41" s="163" t="s">
        <v>119</v>
      </c>
      <c r="D41" s="180">
        <f>0.6*2</f>
        <v>1.2</v>
      </c>
      <c r="E41" s="181"/>
      <c r="F41" s="727"/>
    </row>
    <row r="42" spans="1:6" ht="15" customHeight="1" x14ac:dyDescent="0.3">
      <c r="A42" s="147" t="s">
        <v>125</v>
      </c>
      <c r="B42" s="179" t="s">
        <v>142</v>
      </c>
      <c r="C42" s="163"/>
      <c r="D42" s="186"/>
      <c r="E42" s="187"/>
      <c r="F42" s="727"/>
    </row>
    <row r="43" spans="1:6" ht="15" customHeight="1" x14ac:dyDescent="0.3">
      <c r="A43" s="148" t="s">
        <v>126</v>
      </c>
      <c r="B43" s="183" t="s">
        <v>138</v>
      </c>
      <c r="C43" s="163" t="s">
        <v>137</v>
      </c>
      <c r="D43" s="180">
        <f>3.03*0.2*0.15</f>
        <v>9.0899999999999995E-2</v>
      </c>
      <c r="E43" s="181"/>
      <c r="F43" s="727"/>
    </row>
    <row r="44" spans="1:6" ht="15" customHeight="1" x14ac:dyDescent="0.3">
      <c r="A44" s="148" t="s">
        <v>478</v>
      </c>
      <c r="B44" s="183" t="s">
        <v>657</v>
      </c>
      <c r="C44" s="163" t="s">
        <v>117</v>
      </c>
      <c r="D44" s="180">
        <f>4*3.03*0.394+16*0.66*0.222</f>
        <v>7.1196000000000002</v>
      </c>
      <c r="E44" s="181"/>
      <c r="F44" s="727"/>
    </row>
    <row r="45" spans="1:6" ht="15" customHeight="1" x14ac:dyDescent="0.3">
      <c r="A45" s="148" t="s">
        <v>479</v>
      </c>
      <c r="B45" s="183" t="s">
        <v>118</v>
      </c>
      <c r="C45" s="163" t="s">
        <v>131</v>
      </c>
      <c r="D45" s="180">
        <f>3.03*2*0.2</f>
        <v>1.212</v>
      </c>
      <c r="E45" s="181"/>
      <c r="F45" s="727"/>
    </row>
    <row r="46" spans="1:6" ht="15" customHeight="1" x14ac:dyDescent="0.3">
      <c r="A46" s="147" t="s">
        <v>127</v>
      </c>
      <c r="B46" s="179" t="s">
        <v>140</v>
      </c>
      <c r="C46" s="163"/>
      <c r="D46" s="180"/>
      <c r="E46" s="181"/>
      <c r="F46" s="727"/>
    </row>
    <row r="47" spans="1:6" s="18" customFormat="1" ht="24.9" customHeight="1" x14ac:dyDescent="0.3">
      <c r="A47" s="483" t="s">
        <v>128</v>
      </c>
      <c r="B47" s="183" t="s">
        <v>560</v>
      </c>
      <c r="C47" s="482" t="s">
        <v>131</v>
      </c>
      <c r="D47" s="484">
        <f>+D27</f>
        <v>1.8179999999999998</v>
      </c>
      <c r="E47" s="485"/>
      <c r="F47" s="727"/>
    </row>
    <row r="48" spans="1:6" ht="15" customHeight="1" x14ac:dyDescent="0.3">
      <c r="A48" s="483" t="s">
        <v>129</v>
      </c>
      <c r="B48" s="183" t="s">
        <v>135</v>
      </c>
      <c r="C48" s="163" t="s">
        <v>131</v>
      </c>
      <c r="D48" s="180">
        <f>+D47</f>
        <v>1.8179999999999998</v>
      </c>
      <c r="E48" s="181"/>
      <c r="F48" s="727"/>
    </row>
    <row r="49" spans="1:6" ht="15" customHeight="1" thickBot="1" x14ac:dyDescent="0.35">
      <c r="A49" s="188"/>
      <c r="B49" s="103"/>
      <c r="C49" s="189"/>
      <c r="D49" s="190"/>
      <c r="E49" s="181"/>
      <c r="F49" s="102"/>
    </row>
    <row r="50" spans="1:6" ht="15" customHeight="1" thickBot="1" x14ac:dyDescent="0.35">
      <c r="A50" s="767" t="s">
        <v>146</v>
      </c>
      <c r="B50" s="768"/>
      <c r="C50" s="768"/>
      <c r="D50" s="768"/>
      <c r="E50" s="768"/>
      <c r="F50" s="608"/>
    </row>
    <row r="51" spans="1:6" ht="15" customHeight="1" x14ac:dyDescent="0.3">
      <c r="A51" s="20"/>
      <c r="B51" s="100"/>
      <c r="C51" s="4"/>
      <c r="D51" s="24"/>
      <c r="E51" s="174"/>
      <c r="F51" s="98"/>
    </row>
    <row r="52" spans="1:6" ht="15" customHeight="1" x14ac:dyDescent="0.3">
      <c r="A52" s="147" t="s">
        <v>10</v>
      </c>
      <c r="B52" s="175" t="s">
        <v>167</v>
      </c>
      <c r="C52" s="176"/>
      <c r="D52" s="191"/>
      <c r="E52" s="192"/>
      <c r="F52" s="104"/>
    </row>
    <row r="53" spans="1:6" ht="15" customHeight="1" x14ac:dyDescent="0.3">
      <c r="A53" s="147" t="s">
        <v>11</v>
      </c>
      <c r="B53" s="179" t="s">
        <v>666</v>
      </c>
      <c r="C53" s="176"/>
      <c r="D53" s="191"/>
      <c r="E53" s="192"/>
      <c r="F53" s="104"/>
    </row>
    <row r="54" spans="1:6" ht="15" customHeight="1" x14ac:dyDescent="0.3">
      <c r="A54" s="148" t="s">
        <v>147</v>
      </c>
      <c r="B54" s="183" t="s">
        <v>138</v>
      </c>
      <c r="C54" s="163" t="s">
        <v>137</v>
      </c>
      <c r="D54" s="182">
        <f>4*0.15*0.15*3.08</f>
        <v>0.2772</v>
      </c>
      <c r="E54" s="187"/>
      <c r="F54" s="607"/>
    </row>
    <row r="55" spans="1:6" ht="15" customHeight="1" x14ac:dyDescent="0.3">
      <c r="A55" s="148" t="s">
        <v>148</v>
      </c>
      <c r="B55" s="183" t="s">
        <v>658</v>
      </c>
      <c r="C55" s="163" t="s">
        <v>84</v>
      </c>
      <c r="D55" s="193">
        <f>4*3.08*0.394+64*0.5*0.222</f>
        <v>11.958080000000001</v>
      </c>
      <c r="E55" s="187"/>
      <c r="F55" s="607"/>
    </row>
    <row r="56" spans="1:6" ht="15" customHeight="1" x14ac:dyDescent="0.3">
      <c r="A56" s="148" t="s">
        <v>149</v>
      </c>
      <c r="B56" s="183" t="s">
        <v>118</v>
      </c>
      <c r="C56" s="163" t="s">
        <v>131</v>
      </c>
      <c r="D56" s="182">
        <f>2*4*3.08</f>
        <v>24.64</v>
      </c>
      <c r="E56" s="187"/>
      <c r="F56" s="607"/>
    </row>
    <row r="57" spans="1:6" ht="15" customHeight="1" x14ac:dyDescent="0.3">
      <c r="A57" s="147" t="s">
        <v>12</v>
      </c>
      <c r="B57" s="179" t="s">
        <v>169</v>
      </c>
      <c r="C57" s="163"/>
      <c r="D57" s="182"/>
      <c r="E57" s="187"/>
      <c r="F57" s="607"/>
    </row>
    <row r="58" spans="1:6" ht="15" customHeight="1" x14ac:dyDescent="0.3">
      <c r="A58" s="148" t="s">
        <v>150</v>
      </c>
      <c r="B58" s="183" t="s">
        <v>138</v>
      </c>
      <c r="C58" s="163" t="s">
        <v>137</v>
      </c>
      <c r="D58" s="182">
        <f>3.03*0.2*0.15</f>
        <v>9.0899999999999995E-2</v>
      </c>
      <c r="E58" s="187"/>
      <c r="F58" s="607"/>
    </row>
    <row r="59" spans="1:6" ht="15" customHeight="1" x14ac:dyDescent="0.3">
      <c r="A59" s="148" t="s">
        <v>151</v>
      </c>
      <c r="B59" s="183" t="s">
        <v>658</v>
      </c>
      <c r="C59" s="163" t="s">
        <v>84</v>
      </c>
      <c r="D59" s="193">
        <f>4*3.03*0.394+16*0.5*0.222</f>
        <v>6.5512799999999993</v>
      </c>
      <c r="E59" s="187"/>
      <c r="F59" s="607"/>
    </row>
    <row r="60" spans="1:6" ht="15" customHeight="1" x14ac:dyDescent="0.3">
      <c r="A60" s="148" t="s">
        <v>152</v>
      </c>
      <c r="B60" s="183" t="s">
        <v>118</v>
      </c>
      <c r="C60" s="163" t="s">
        <v>131</v>
      </c>
      <c r="D60" s="182">
        <f>3.03*2*0.2*1.2</f>
        <v>1.4543999999999999</v>
      </c>
      <c r="E60" s="187"/>
      <c r="F60" s="607"/>
    </row>
    <row r="61" spans="1:6" ht="15" customHeight="1" x14ac:dyDescent="0.3">
      <c r="A61" s="147" t="s">
        <v>13</v>
      </c>
      <c r="B61" s="179" t="s">
        <v>164</v>
      </c>
      <c r="C61" s="163"/>
      <c r="D61" s="182"/>
      <c r="E61" s="187"/>
      <c r="F61" s="607"/>
    </row>
    <row r="62" spans="1:6" ht="15" customHeight="1" x14ac:dyDescent="0.3">
      <c r="A62" s="148" t="s">
        <v>153</v>
      </c>
      <c r="B62" s="183" t="s">
        <v>165</v>
      </c>
      <c r="C62" s="163" t="s">
        <v>131</v>
      </c>
      <c r="D62" s="180">
        <f>3.03*3.08-(0.9*2.15)</f>
        <v>7.3973999999999993</v>
      </c>
      <c r="E62" s="195"/>
      <c r="F62" s="607"/>
    </row>
    <row r="63" spans="1:6" ht="15" customHeight="1" x14ac:dyDescent="0.3">
      <c r="A63" s="147" t="s">
        <v>156</v>
      </c>
      <c r="B63" s="179" t="s">
        <v>173</v>
      </c>
      <c r="C63" s="163"/>
      <c r="D63" s="180"/>
      <c r="E63" s="181"/>
      <c r="F63" s="607"/>
    </row>
    <row r="64" spans="1:6" ht="15" customHeight="1" x14ac:dyDescent="0.3">
      <c r="A64" s="148" t="s">
        <v>157</v>
      </c>
      <c r="B64" s="183" t="s">
        <v>574</v>
      </c>
      <c r="C64" s="163" t="s">
        <v>131</v>
      </c>
      <c r="D64" s="180">
        <f>0.9*2.15*2+D12</f>
        <v>23.408000000000005</v>
      </c>
      <c r="E64" s="181"/>
      <c r="F64" s="607"/>
    </row>
    <row r="65" spans="1:6" ht="15" customHeight="1" x14ac:dyDescent="0.3">
      <c r="A65" s="148" t="s">
        <v>158</v>
      </c>
      <c r="B65" s="183" t="s">
        <v>573</v>
      </c>
      <c r="C65" s="163" t="s">
        <v>131</v>
      </c>
      <c r="D65" s="180">
        <f>3.03*3.08*2-(0.9*2.15)</f>
        <v>16.729800000000001</v>
      </c>
      <c r="E65" s="181"/>
      <c r="F65" s="607"/>
    </row>
    <row r="66" spans="1:6" s="468" customFormat="1" ht="15" customHeight="1" x14ac:dyDescent="0.3">
      <c r="A66" s="147" t="s">
        <v>159</v>
      </c>
      <c r="B66" s="487" t="s">
        <v>171</v>
      </c>
      <c r="C66" s="198"/>
      <c r="D66" s="199"/>
      <c r="E66" s="200"/>
      <c r="F66" s="607"/>
    </row>
    <row r="67" spans="1:6" s="468" customFormat="1" ht="24.9" customHeight="1" x14ac:dyDescent="0.3">
      <c r="A67" s="196" t="s">
        <v>160</v>
      </c>
      <c r="B67" s="197" t="s">
        <v>572</v>
      </c>
      <c r="C67" s="198" t="s">
        <v>15</v>
      </c>
      <c r="D67" s="199">
        <v>3.03</v>
      </c>
      <c r="E67" s="200"/>
      <c r="F67" s="607"/>
    </row>
    <row r="68" spans="1:6" ht="15" customHeight="1" thickBot="1" x14ac:dyDescent="0.35">
      <c r="A68" s="196"/>
      <c r="B68" s="197"/>
      <c r="C68" s="198"/>
      <c r="D68" s="199"/>
      <c r="E68" s="200"/>
      <c r="F68" s="107"/>
    </row>
    <row r="69" spans="1:6" ht="15" customHeight="1" thickBot="1" x14ac:dyDescent="0.35">
      <c r="A69" s="767" t="s">
        <v>175</v>
      </c>
      <c r="B69" s="768"/>
      <c r="C69" s="768"/>
      <c r="D69" s="768"/>
      <c r="E69" s="768"/>
      <c r="F69" s="608"/>
    </row>
    <row r="70" spans="1:6" ht="15" customHeight="1" thickBot="1" x14ac:dyDescent="0.35">
      <c r="A70" s="34"/>
      <c r="B70" s="201"/>
      <c r="C70" s="202"/>
      <c r="D70" s="203"/>
      <c r="E70" s="204"/>
      <c r="F70" s="108"/>
    </row>
    <row r="71" spans="1:6" ht="15" customHeight="1" thickBot="1" x14ac:dyDescent="0.35">
      <c r="A71" s="767" t="s">
        <v>191</v>
      </c>
      <c r="B71" s="768"/>
      <c r="C71" s="768"/>
      <c r="D71" s="768"/>
      <c r="E71" s="768"/>
      <c r="F71" s="586"/>
    </row>
    <row r="72" spans="1:6" s="468" customFormat="1" ht="15" customHeight="1" x14ac:dyDescent="0.3">
      <c r="A72" s="140"/>
      <c r="B72" s="141"/>
      <c r="C72" s="141"/>
      <c r="D72" s="141"/>
      <c r="E72" s="141"/>
      <c r="F72" s="486"/>
    </row>
    <row r="73" spans="1:6" s="468" customFormat="1" ht="15" customHeight="1" x14ac:dyDescent="0.3">
      <c r="A73" s="58" t="s">
        <v>182</v>
      </c>
      <c r="B73" s="99" t="s">
        <v>656</v>
      </c>
      <c r="C73" s="4"/>
      <c r="D73" s="24"/>
      <c r="E73" s="174"/>
      <c r="F73" s="98"/>
    </row>
    <row r="74" spans="1:6" s="468" customFormat="1" ht="15" customHeight="1" x14ac:dyDescent="0.3">
      <c r="A74" s="54"/>
      <c r="B74" s="167"/>
      <c r="C74" s="4"/>
      <c r="D74" s="24"/>
      <c r="E74" s="174"/>
      <c r="F74" s="98"/>
    </row>
    <row r="75" spans="1:6" s="468" customFormat="1" ht="15" customHeight="1" x14ac:dyDescent="0.3">
      <c r="A75" s="64" t="s">
        <v>186</v>
      </c>
      <c r="B75" s="111" t="s">
        <v>188</v>
      </c>
      <c r="C75" s="60"/>
      <c r="D75" s="131"/>
      <c r="E75" s="80"/>
      <c r="F75" s="119"/>
    </row>
    <row r="76" spans="1:6" s="468" customFormat="1" ht="15" customHeight="1" x14ac:dyDescent="0.3">
      <c r="A76" s="65" t="s">
        <v>187</v>
      </c>
      <c r="B76" s="69" t="s">
        <v>733</v>
      </c>
      <c r="C76" s="60" t="s">
        <v>15</v>
      </c>
      <c r="D76" s="131">
        <f>14*0.5*2*1.1</f>
        <v>15.400000000000002</v>
      </c>
      <c r="E76" s="393"/>
      <c r="F76" s="591"/>
    </row>
    <row r="77" spans="1:6" s="468" customFormat="1" ht="15" customHeight="1" thickBot="1" x14ac:dyDescent="0.35">
      <c r="A77" s="23"/>
      <c r="B77" s="120"/>
      <c r="C77" s="25"/>
      <c r="D77" s="208"/>
      <c r="E77" s="27"/>
      <c r="F77" s="35"/>
    </row>
    <row r="78" spans="1:6" s="468" customFormat="1" ht="15" customHeight="1" thickBot="1" x14ac:dyDescent="0.35">
      <c r="A78" s="767" t="s">
        <v>194</v>
      </c>
      <c r="B78" s="768"/>
      <c r="C78" s="768"/>
      <c r="D78" s="768"/>
      <c r="E78" s="768"/>
      <c r="F78" s="651"/>
    </row>
    <row r="79" spans="1:6" s="468" customFormat="1" ht="15" customHeight="1" x14ac:dyDescent="0.3">
      <c r="A79" s="140"/>
      <c r="B79" s="141"/>
      <c r="C79" s="141"/>
      <c r="D79" s="141"/>
      <c r="E79" s="141"/>
      <c r="F79" s="486"/>
    </row>
    <row r="80" spans="1:6" ht="15" customHeight="1" x14ac:dyDescent="0.3">
      <c r="A80" s="58" t="s">
        <v>249</v>
      </c>
      <c r="B80" s="99" t="s">
        <v>250</v>
      </c>
      <c r="C80" s="4"/>
      <c r="D80" s="24"/>
      <c r="E80" s="174"/>
      <c r="F80" s="98"/>
    </row>
    <row r="81" spans="1:6" ht="15" customHeight="1" x14ac:dyDescent="0.3">
      <c r="A81" s="21"/>
      <c r="B81" s="15"/>
      <c r="C81" s="4"/>
      <c r="D81" s="24"/>
      <c r="E81" s="9"/>
      <c r="F81" s="7"/>
    </row>
    <row r="82" spans="1:6" ht="15" customHeight="1" x14ac:dyDescent="0.3">
      <c r="A82" s="64" t="s">
        <v>26</v>
      </c>
      <c r="B82" s="111" t="s">
        <v>251</v>
      </c>
      <c r="C82" s="60"/>
      <c r="D82" s="131"/>
      <c r="E82" s="80"/>
      <c r="F82" s="119"/>
    </row>
    <row r="83" spans="1:6" ht="15" customHeight="1" x14ac:dyDescent="0.3">
      <c r="A83" s="64" t="s">
        <v>267</v>
      </c>
      <c r="B83" s="127" t="s">
        <v>255</v>
      </c>
      <c r="C83" s="60"/>
      <c r="D83" s="131"/>
      <c r="E83" s="80"/>
      <c r="F83" s="119"/>
    </row>
    <row r="84" spans="1:6" ht="24.9" customHeight="1" x14ac:dyDescent="0.3">
      <c r="A84" s="66" t="s">
        <v>281</v>
      </c>
      <c r="B84" s="69" t="s">
        <v>563</v>
      </c>
      <c r="C84" s="62" t="s">
        <v>18</v>
      </c>
      <c r="D84" s="70">
        <v>1</v>
      </c>
      <c r="E84" s="383"/>
      <c r="F84" s="591"/>
    </row>
    <row r="85" spans="1:6" ht="15" customHeight="1" x14ac:dyDescent="0.3">
      <c r="A85" s="64" t="s">
        <v>27</v>
      </c>
      <c r="B85" s="111" t="s">
        <v>263</v>
      </c>
      <c r="C85" s="60"/>
      <c r="D85" s="131"/>
      <c r="E85" s="393"/>
      <c r="F85" s="591"/>
    </row>
    <row r="86" spans="1:6" ht="15" customHeight="1" x14ac:dyDescent="0.3">
      <c r="A86" s="64" t="s">
        <v>71</v>
      </c>
      <c r="B86" s="127" t="s">
        <v>257</v>
      </c>
      <c r="C86" s="60"/>
      <c r="D86" s="131"/>
      <c r="E86" s="393"/>
      <c r="F86" s="591"/>
    </row>
    <row r="87" spans="1:6" ht="15" customHeight="1" x14ac:dyDescent="0.3">
      <c r="A87" s="65" t="s">
        <v>260</v>
      </c>
      <c r="B87" s="113" t="s">
        <v>423</v>
      </c>
      <c r="C87" s="60" t="s">
        <v>15</v>
      </c>
      <c r="D87" s="131">
        <f>3.08*1.2</f>
        <v>3.6959999999999997</v>
      </c>
      <c r="E87" s="393"/>
      <c r="F87" s="591"/>
    </row>
    <row r="88" spans="1:6" ht="15" customHeight="1" x14ac:dyDescent="0.3">
      <c r="A88" s="65" t="s">
        <v>261</v>
      </c>
      <c r="B88" s="113" t="s">
        <v>428</v>
      </c>
      <c r="C88" s="60" t="s">
        <v>15</v>
      </c>
      <c r="D88" s="131">
        <f>+(3.03+0.3*2+5.03*2+1.5*2)*1.2</f>
        <v>20.028000000000002</v>
      </c>
      <c r="E88" s="393"/>
      <c r="F88" s="591"/>
    </row>
    <row r="89" spans="1:6" ht="15" customHeight="1" x14ac:dyDescent="0.3">
      <c r="A89" s="78" t="s">
        <v>28</v>
      </c>
      <c r="B89" s="214" t="s">
        <v>268</v>
      </c>
      <c r="C89" s="185"/>
      <c r="D89" s="165"/>
      <c r="E89" s="165"/>
      <c r="F89" s="591"/>
    </row>
    <row r="90" spans="1:6" ht="15" customHeight="1" x14ac:dyDescent="0.3">
      <c r="A90" s="147" t="s">
        <v>87</v>
      </c>
      <c r="B90" s="215" t="s">
        <v>270</v>
      </c>
      <c r="C90" s="216"/>
      <c r="D90" s="166"/>
      <c r="E90" s="166"/>
      <c r="F90" s="591"/>
    </row>
    <row r="91" spans="1:6" ht="15" customHeight="1" x14ac:dyDescent="0.3">
      <c r="A91" s="148" t="s">
        <v>282</v>
      </c>
      <c r="B91" s="216" t="s">
        <v>269</v>
      </c>
      <c r="C91" s="163" t="s">
        <v>18</v>
      </c>
      <c r="D91" s="169">
        <v>2</v>
      </c>
      <c r="E91" s="726"/>
      <c r="F91" s="591"/>
    </row>
    <row r="92" spans="1:6" ht="15" customHeight="1" x14ac:dyDescent="0.3">
      <c r="A92" s="135" t="s">
        <v>89</v>
      </c>
      <c r="B92" s="217" t="s">
        <v>271</v>
      </c>
      <c r="C92" s="185"/>
      <c r="D92" s="165"/>
      <c r="E92" s="165"/>
      <c r="F92" s="591"/>
    </row>
    <row r="93" spans="1:6" ht="15" customHeight="1" x14ac:dyDescent="0.3">
      <c r="A93" s="136" t="s">
        <v>284</v>
      </c>
      <c r="B93" s="113" t="s">
        <v>272</v>
      </c>
      <c r="C93" s="60" t="s">
        <v>18</v>
      </c>
      <c r="D93" s="131">
        <v>1</v>
      </c>
      <c r="E93" s="393"/>
      <c r="F93" s="591"/>
    </row>
    <row r="94" spans="1:6" ht="15" customHeight="1" x14ac:dyDescent="0.3">
      <c r="A94" s="136" t="s">
        <v>285</v>
      </c>
      <c r="B94" s="113" t="s">
        <v>424</v>
      </c>
      <c r="C94" s="60" t="s">
        <v>18</v>
      </c>
      <c r="D94" s="131">
        <v>1</v>
      </c>
      <c r="E94" s="393"/>
      <c r="F94" s="591"/>
    </row>
    <row r="95" spans="1:6" ht="15" customHeight="1" x14ac:dyDescent="0.3">
      <c r="A95" s="135" t="s">
        <v>90</v>
      </c>
      <c r="B95" s="127" t="s">
        <v>275</v>
      </c>
      <c r="C95" s="60"/>
      <c r="D95" s="131"/>
      <c r="E95" s="393"/>
      <c r="F95" s="591"/>
    </row>
    <row r="96" spans="1:6" ht="15" customHeight="1" x14ac:dyDescent="0.3">
      <c r="A96" s="136" t="s">
        <v>287</v>
      </c>
      <c r="B96" s="113" t="s">
        <v>564</v>
      </c>
      <c r="C96" s="60" t="s">
        <v>18</v>
      </c>
      <c r="D96" s="131">
        <v>1</v>
      </c>
      <c r="E96" s="393"/>
      <c r="F96" s="591"/>
    </row>
    <row r="97" spans="1:6" ht="15" customHeight="1" x14ac:dyDescent="0.3">
      <c r="A97" s="135" t="s">
        <v>29</v>
      </c>
      <c r="B97" s="111" t="s">
        <v>232</v>
      </c>
      <c r="C97" s="60"/>
      <c r="D97" s="131"/>
      <c r="E97" s="393"/>
      <c r="F97" s="591"/>
    </row>
    <row r="98" spans="1:6" ht="15" customHeight="1" x14ac:dyDescent="0.3">
      <c r="A98" s="65" t="s">
        <v>91</v>
      </c>
      <c r="B98" s="113" t="s">
        <v>265</v>
      </c>
      <c r="C98" s="60" t="s">
        <v>54</v>
      </c>
      <c r="D98" s="131">
        <v>1</v>
      </c>
      <c r="E98" s="393"/>
      <c r="F98" s="591"/>
    </row>
    <row r="99" spans="1:6" ht="15" customHeight="1" thickBot="1" x14ac:dyDescent="0.35">
      <c r="A99" s="65"/>
      <c r="B99" s="69"/>
      <c r="C99" s="60"/>
      <c r="D99" s="131"/>
      <c r="E99" s="393"/>
      <c r="F99" s="590"/>
    </row>
    <row r="100" spans="1:6" ht="15" customHeight="1" thickBot="1" x14ac:dyDescent="0.35">
      <c r="A100" s="767" t="s">
        <v>291</v>
      </c>
      <c r="B100" s="768"/>
      <c r="C100" s="768"/>
      <c r="D100" s="768"/>
      <c r="E100" s="768"/>
      <c r="F100" s="586"/>
    </row>
    <row r="101" spans="1:6" ht="15" customHeight="1" x14ac:dyDescent="0.3">
      <c r="A101" s="65"/>
      <c r="B101" s="113"/>
      <c r="C101" s="60"/>
      <c r="D101" s="218"/>
      <c r="E101" s="80"/>
      <c r="F101" s="119"/>
    </row>
    <row r="102" spans="1:6" ht="15" customHeight="1" x14ac:dyDescent="0.3">
      <c r="A102" s="58" t="s">
        <v>327</v>
      </c>
      <c r="B102" s="99" t="s">
        <v>328</v>
      </c>
      <c r="C102" s="4"/>
      <c r="D102" s="24"/>
      <c r="E102" s="174"/>
      <c r="F102" s="98"/>
    </row>
    <row r="103" spans="1:6" ht="15" customHeight="1" x14ac:dyDescent="0.3">
      <c r="A103" s="65"/>
      <c r="B103" s="113"/>
      <c r="C103" s="60"/>
      <c r="D103" s="218"/>
      <c r="E103" s="80"/>
      <c r="F103" s="119"/>
    </row>
    <row r="104" spans="1:6" ht="15" customHeight="1" x14ac:dyDescent="0.3">
      <c r="A104" s="64" t="s">
        <v>93</v>
      </c>
      <c r="B104" s="111" t="s">
        <v>329</v>
      </c>
      <c r="C104" s="60"/>
      <c r="D104" s="218"/>
      <c r="E104" s="80"/>
      <c r="F104" s="119"/>
    </row>
    <row r="105" spans="1:6" ht="15" customHeight="1" x14ac:dyDescent="0.3">
      <c r="A105" s="64" t="s">
        <v>94</v>
      </c>
      <c r="B105" s="127" t="s">
        <v>330</v>
      </c>
      <c r="C105" s="60"/>
      <c r="D105" s="218"/>
      <c r="E105" s="80"/>
      <c r="F105" s="119"/>
    </row>
    <row r="106" spans="1:6" s="18" customFormat="1" ht="24.9" customHeight="1" x14ac:dyDescent="0.3">
      <c r="A106" s="66" t="s">
        <v>332</v>
      </c>
      <c r="B106" s="69" t="s">
        <v>709</v>
      </c>
      <c r="C106" s="62" t="s">
        <v>18</v>
      </c>
      <c r="D106" s="70">
        <v>1</v>
      </c>
      <c r="E106" s="383"/>
      <c r="F106" s="591"/>
    </row>
    <row r="107" spans="1:6" ht="15" customHeight="1" thickBot="1" x14ac:dyDescent="0.35">
      <c r="A107" s="65"/>
      <c r="B107" s="113"/>
      <c r="C107" s="60"/>
      <c r="D107" s="218"/>
      <c r="E107" s="80"/>
      <c r="F107" s="119"/>
    </row>
    <row r="108" spans="1:6" ht="15" customHeight="1" thickBot="1" x14ac:dyDescent="0.35">
      <c r="A108" s="767" t="s">
        <v>333</v>
      </c>
      <c r="B108" s="768"/>
      <c r="C108" s="768"/>
      <c r="D108" s="768"/>
      <c r="E108" s="768"/>
      <c r="F108" s="586"/>
    </row>
    <row r="109" spans="1:6" ht="15" customHeight="1" x14ac:dyDescent="0.3">
      <c r="A109" s="65"/>
      <c r="B109" s="113"/>
      <c r="C109" s="60"/>
      <c r="D109" s="218"/>
      <c r="E109" s="80"/>
      <c r="F109" s="591"/>
    </row>
    <row r="110" spans="1:6" ht="15" customHeight="1" x14ac:dyDescent="0.3">
      <c r="A110" s="58" t="s">
        <v>334</v>
      </c>
      <c r="B110" s="99" t="s">
        <v>335</v>
      </c>
      <c r="C110" s="4"/>
      <c r="D110" s="24"/>
      <c r="E110" s="174"/>
      <c r="F110" s="98"/>
    </row>
    <row r="111" spans="1:6" ht="15" customHeight="1" x14ac:dyDescent="0.3">
      <c r="A111" s="65"/>
      <c r="B111" s="113"/>
      <c r="C111" s="60"/>
      <c r="D111" s="218"/>
      <c r="E111" s="80"/>
      <c r="F111" s="119"/>
    </row>
    <row r="112" spans="1:6" ht="15" customHeight="1" x14ac:dyDescent="0.3">
      <c r="A112" s="64" t="s">
        <v>69</v>
      </c>
      <c r="B112" s="111" t="s">
        <v>336</v>
      </c>
      <c r="C112" s="60"/>
      <c r="D112" s="218"/>
      <c r="E112" s="80"/>
      <c r="F112" s="119"/>
    </row>
    <row r="113" spans="1:6" ht="15" customHeight="1" x14ac:dyDescent="0.3">
      <c r="A113" s="64" t="s">
        <v>70</v>
      </c>
      <c r="B113" s="127" t="s">
        <v>337</v>
      </c>
      <c r="C113" s="60"/>
      <c r="D113" s="218"/>
      <c r="E113" s="80"/>
      <c r="F113" s="119"/>
    </row>
    <row r="114" spans="1:6" ht="15" customHeight="1" x14ac:dyDescent="0.3">
      <c r="A114" s="65" t="s">
        <v>342</v>
      </c>
      <c r="B114" s="113" t="s">
        <v>566</v>
      </c>
      <c r="C114" s="163" t="s">
        <v>131</v>
      </c>
      <c r="D114" s="131">
        <f>+D14</f>
        <v>5.6591999999999993</v>
      </c>
      <c r="E114" s="393"/>
      <c r="F114" s="591"/>
    </row>
    <row r="115" spans="1:6" ht="15" customHeight="1" x14ac:dyDescent="0.3">
      <c r="A115" s="65" t="s">
        <v>343</v>
      </c>
      <c r="B115" s="113" t="s">
        <v>339</v>
      </c>
      <c r="C115" s="60" t="s">
        <v>15</v>
      </c>
      <c r="D115" s="131">
        <f>+D15</f>
        <v>19.344000000000001</v>
      </c>
      <c r="E115" s="393"/>
      <c r="F115" s="591"/>
    </row>
    <row r="116" spans="1:6" ht="15" customHeight="1" thickBot="1" x14ac:dyDescent="0.35">
      <c r="A116" s="65"/>
      <c r="B116" s="113"/>
      <c r="C116" s="60"/>
      <c r="D116" s="218"/>
      <c r="E116" s="80"/>
      <c r="F116" s="119"/>
    </row>
    <row r="117" spans="1:6" ht="15" customHeight="1" thickBot="1" x14ac:dyDescent="0.35">
      <c r="A117" s="767" t="s">
        <v>348</v>
      </c>
      <c r="B117" s="768"/>
      <c r="C117" s="768"/>
      <c r="D117" s="768"/>
      <c r="E117" s="768"/>
      <c r="F117" s="589"/>
    </row>
    <row r="118" spans="1:6" ht="15" customHeight="1" x14ac:dyDescent="0.3">
      <c r="A118" s="65"/>
      <c r="B118" s="113"/>
      <c r="C118" s="60"/>
      <c r="D118" s="218"/>
      <c r="E118" s="80"/>
      <c r="F118" s="119"/>
    </row>
    <row r="119" spans="1:6" ht="15" customHeight="1" x14ac:dyDescent="0.3">
      <c r="A119" s="58" t="s">
        <v>349</v>
      </c>
      <c r="B119" s="99" t="s">
        <v>350</v>
      </c>
      <c r="C119" s="4"/>
      <c r="D119" s="24"/>
      <c r="E119" s="174"/>
      <c r="F119" s="98"/>
    </row>
    <row r="120" spans="1:6" ht="15" customHeight="1" x14ac:dyDescent="0.3">
      <c r="A120" s="65"/>
      <c r="B120" s="113"/>
      <c r="C120" s="60"/>
      <c r="D120" s="218"/>
      <c r="E120" s="80"/>
      <c r="F120" s="119"/>
    </row>
    <row r="121" spans="1:6" ht="15" customHeight="1" x14ac:dyDescent="0.3">
      <c r="A121" s="64" t="s">
        <v>32</v>
      </c>
      <c r="B121" s="111" t="s">
        <v>354</v>
      </c>
      <c r="C121" s="60"/>
      <c r="D121" s="218"/>
      <c r="E121" s="80"/>
      <c r="F121" s="119"/>
    </row>
    <row r="122" spans="1:6" ht="15" customHeight="1" x14ac:dyDescent="0.3">
      <c r="A122" s="64" t="s">
        <v>41</v>
      </c>
      <c r="B122" s="127" t="s">
        <v>355</v>
      </c>
      <c r="C122" s="60"/>
      <c r="D122" s="131"/>
      <c r="E122" s="80"/>
      <c r="F122" s="119"/>
    </row>
    <row r="123" spans="1:6" ht="24.9" customHeight="1" x14ac:dyDescent="0.3">
      <c r="A123" s="66" t="s">
        <v>356</v>
      </c>
      <c r="B123" s="69" t="s">
        <v>568</v>
      </c>
      <c r="C123" s="62" t="s">
        <v>18</v>
      </c>
      <c r="D123" s="70">
        <v>2</v>
      </c>
      <c r="E123" s="383"/>
      <c r="F123" s="591"/>
    </row>
    <row r="124" spans="1:6" ht="15" customHeight="1" x14ac:dyDescent="0.3">
      <c r="A124" s="64" t="s">
        <v>33</v>
      </c>
      <c r="B124" s="127" t="s">
        <v>358</v>
      </c>
      <c r="C124" s="60" t="s">
        <v>6</v>
      </c>
      <c r="D124" s="219"/>
      <c r="E124" s="393"/>
      <c r="F124" s="591"/>
    </row>
    <row r="125" spans="1:6" ht="15" customHeight="1" x14ac:dyDescent="0.3">
      <c r="A125" s="66" t="s">
        <v>359</v>
      </c>
      <c r="B125" s="69" t="s">
        <v>680</v>
      </c>
      <c r="C125" s="62" t="s">
        <v>18</v>
      </c>
      <c r="D125" s="70">
        <v>2</v>
      </c>
      <c r="E125" s="383"/>
      <c r="F125" s="591"/>
    </row>
    <row r="126" spans="1:6" ht="15" customHeight="1" thickBot="1" x14ac:dyDescent="0.35">
      <c r="A126" s="23"/>
      <c r="B126" s="137"/>
      <c r="C126" s="30"/>
      <c r="D126" s="138"/>
      <c r="E126" s="27"/>
      <c r="F126" s="35"/>
    </row>
    <row r="127" spans="1:6" ht="15" customHeight="1" thickBot="1" x14ac:dyDescent="0.35">
      <c r="A127" s="767" t="s">
        <v>366</v>
      </c>
      <c r="B127" s="768"/>
      <c r="C127" s="768"/>
      <c r="D127" s="768"/>
      <c r="E127" s="768"/>
      <c r="F127" s="586"/>
    </row>
    <row r="128" spans="1:6" ht="15" customHeight="1" x14ac:dyDescent="0.3">
      <c r="A128" s="20"/>
      <c r="B128" s="15"/>
      <c r="C128" s="4"/>
      <c r="D128" s="220"/>
      <c r="E128" s="9"/>
      <c r="F128" s="7"/>
    </row>
    <row r="129" spans="1:6" ht="15" customHeight="1" x14ac:dyDescent="0.3">
      <c r="A129" s="58" t="s">
        <v>372</v>
      </c>
      <c r="B129" s="99" t="s">
        <v>373</v>
      </c>
      <c r="C129" s="4"/>
      <c r="D129" s="24"/>
      <c r="E129" s="174"/>
      <c r="F129" s="98"/>
    </row>
    <row r="130" spans="1:6" ht="15" customHeight="1" x14ac:dyDescent="0.3">
      <c r="A130" s="64"/>
      <c r="B130" s="111"/>
      <c r="C130" s="60"/>
      <c r="D130" s="218"/>
      <c r="E130" s="80"/>
      <c r="F130" s="119"/>
    </row>
    <row r="131" spans="1:6" ht="15" customHeight="1" x14ac:dyDescent="0.3">
      <c r="A131" s="64" t="s">
        <v>35</v>
      </c>
      <c r="B131" s="111" t="s">
        <v>374</v>
      </c>
      <c r="C131" s="60" t="s">
        <v>6</v>
      </c>
      <c r="D131" s="131"/>
      <c r="E131" s="80"/>
      <c r="F131" s="119"/>
    </row>
    <row r="132" spans="1:6" ht="15" customHeight="1" x14ac:dyDescent="0.3">
      <c r="A132" s="64" t="s">
        <v>56</v>
      </c>
      <c r="B132" s="127" t="s">
        <v>376</v>
      </c>
      <c r="C132" s="60"/>
      <c r="D132" s="131"/>
      <c r="E132" s="80"/>
      <c r="F132" s="119"/>
    </row>
    <row r="133" spans="1:6" ht="15" customHeight="1" x14ac:dyDescent="0.3">
      <c r="A133" s="65" t="s">
        <v>377</v>
      </c>
      <c r="B133" s="113" t="s">
        <v>375</v>
      </c>
      <c r="C133" s="163" t="s">
        <v>131</v>
      </c>
      <c r="D133" s="131">
        <f>+D65+D64</f>
        <v>40.137800000000006</v>
      </c>
      <c r="E133" s="393"/>
      <c r="F133" s="591"/>
    </row>
    <row r="134" spans="1:6" ht="15" customHeight="1" x14ac:dyDescent="0.3">
      <c r="A134" s="64" t="s">
        <v>36</v>
      </c>
      <c r="B134" s="111" t="s">
        <v>378</v>
      </c>
      <c r="C134" s="60"/>
      <c r="D134" s="131"/>
      <c r="E134" s="393"/>
      <c r="F134" s="591"/>
    </row>
    <row r="135" spans="1:6" ht="15" customHeight="1" x14ac:dyDescent="0.3">
      <c r="A135" s="64" t="s">
        <v>59</v>
      </c>
      <c r="B135" s="127" t="s">
        <v>379</v>
      </c>
      <c r="C135" s="60"/>
      <c r="D135" s="131"/>
      <c r="E135" s="393"/>
      <c r="F135" s="591"/>
    </row>
    <row r="136" spans="1:6" ht="15" customHeight="1" x14ac:dyDescent="0.3">
      <c r="A136" s="65" t="s">
        <v>380</v>
      </c>
      <c r="B136" s="113" t="s">
        <v>383</v>
      </c>
      <c r="C136" s="163" t="s">
        <v>131</v>
      </c>
      <c r="D136" s="131">
        <f>+D65+2*(5.03+3.03)*3.08-2*0.9*2.15+2*(5.03+4.06)*3.08-2*0.9*2.15-2*1.2*1.1+(11.49+2.21+0.25+0.9+0.23+0.9+3.21+4.27+0.55+0.44+0.37+0.88+2.99+0.36+2.46)*3.08-(4*0.9*2.15+2*0.7*2.15+1.2*1.1)</f>
        <v>196.97460000000004</v>
      </c>
      <c r="E136" s="393"/>
      <c r="F136" s="591"/>
    </row>
    <row r="137" spans="1:6" ht="15" customHeight="1" x14ac:dyDescent="0.3">
      <c r="A137" s="64" t="s">
        <v>60</v>
      </c>
      <c r="B137" s="127" t="s">
        <v>382</v>
      </c>
      <c r="C137" s="60"/>
      <c r="D137" s="131"/>
      <c r="E137" s="393"/>
      <c r="F137" s="591"/>
    </row>
    <row r="138" spans="1:6" ht="15" customHeight="1" x14ac:dyDescent="0.3">
      <c r="A138" s="65" t="s">
        <v>569</v>
      </c>
      <c r="B138" s="113" t="s">
        <v>384</v>
      </c>
      <c r="C138" s="163" t="s">
        <v>131</v>
      </c>
      <c r="D138" s="131">
        <f>(11.49+12.29+15.73)*3.5</f>
        <v>138.28500000000003</v>
      </c>
      <c r="E138" s="393"/>
      <c r="F138" s="591"/>
    </row>
    <row r="139" spans="1:6" ht="15" customHeight="1" x14ac:dyDescent="0.3">
      <c r="A139" s="64" t="s">
        <v>43</v>
      </c>
      <c r="B139" s="111" t="s">
        <v>385</v>
      </c>
      <c r="C139" s="60"/>
      <c r="D139" s="131"/>
      <c r="E139" s="393"/>
      <c r="F139" s="591"/>
    </row>
    <row r="140" spans="1:6" ht="15" customHeight="1" x14ac:dyDescent="0.3">
      <c r="A140" s="64" t="s">
        <v>61</v>
      </c>
      <c r="B140" s="127" t="s">
        <v>681</v>
      </c>
      <c r="C140" s="60"/>
      <c r="D140" s="131"/>
      <c r="E140" s="393"/>
      <c r="F140" s="591"/>
    </row>
    <row r="141" spans="1:6" ht="15" customHeight="1" x14ac:dyDescent="0.3">
      <c r="A141" s="66" t="s">
        <v>390</v>
      </c>
      <c r="B141" s="69" t="s">
        <v>684</v>
      </c>
      <c r="C141" s="163" t="s">
        <v>131</v>
      </c>
      <c r="D141" s="70">
        <f>2*(6*0.9*2.15+0.5*4*1.2*1.1+0.5*0.6*0.6)</f>
        <v>28.86</v>
      </c>
      <c r="E141" s="383"/>
      <c r="F141" s="591"/>
    </row>
    <row r="142" spans="1:6" ht="15" customHeight="1" x14ac:dyDescent="0.3">
      <c r="A142" s="64" t="s">
        <v>62</v>
      </c>
      <c r="B142" s="127" t="s">
        <v>388</v>
      </c>
      <c r="C142" s="60"/>
      <c r="D142" s="131"/>
      <c r="E142" s="393"/>
      <c r="F142" s="591"/>
    </row>
    <row r="143" spans="1:6" ht="15" customHeight="1" x14ac:dyDescent="0.3">
      <c r="A143" s="65" t="s">
        <v>391</v>
      </c>
      <c r="B143" s="69" t="s">
        <v>683</v>
      </c>
      <c r="C143" s="163" t="s">
        <v>131</v>
      </c>
      <c r="D143" s="131">
        <f>4*1.2*1.1+2*0.6*0.6</f>
        <v>6</v>
      </c>
      <c r="E143" s="393"/>
      <c r="F143" s="591"/>
    </row>
    <row r="144" spans="1:6" s="597" customFormat="1" ht="15" customHeight="1" x14ac:dyDescent="0.3">
      <c r="A144" s="65" t="s">
        <v>682</v>
      </c>
      <c r="B144" s="69" t="s">
        <v>685</v>
      </c>
      <c r="C144" s="163" t="s">
        <v>131</v>
      </c>
      <c r="D144" s="131">
        <f>4*1.2*1.1+2*0.6*0.6</f>
        <v>6</v>
      </c>
      <c r="E144" s="393"/>
      <c r="F144" s="591"/>
    </row>
    <row r="145" spans="1:6" s="504" customFormat="1" ht="15" customHeight="1" x14ac:dyDescent="0.3">
      <c r="A145" s="396" t="s">
        <v>487</v>
      </c>
      <c r="B145" s="111" t="s">
        <v>171</v>
      </c>
      <c r="C145" s="60"/>
      <c r="D145" s="392"/>
      <c r="E145" s="393"/>
      <c r="F145" s="591"/>
    </row>
    <row r="146" spans="1:6" s="504" customFormat="1" ht="24.9" customHeight="1" x14ac:dyDescent="0.3">
      <c r="A146" s="410" t="s">
        <v>488</v>
      </c>
      <c r="B146" s="69" t="s">
        <v>711</v>
      </c>
      <c r="C146" s="62" t="s">
        <v>54</v>
      </c>
      <c r="D146" s="387">
        <v>1</v>
      </c>
      <c r="E146" s="383"/>
      <c r="F146" s="591"/>
    </row>
    <row r="147" spans="1:6" ht="15" customHeight="1" thickBot="1" x14ac:dyDescent="0.35">
      <c r="A147" s="77"/>
      <c r="B147" s="81"/>
      <c r="C147" s="139"/>
      <c r="D147" s="206"/>
      <c r="E147" s="207"/>
      <c r="F147" s="121"/>
    </row>
    <row r="148" spans="1:6" ht="15" customHeight="1" thickBot="1" x14ac:dyDescent="0.35">
      <c r="A148" s="767" t="s">
        <v>395</v>
      </c>
      <c r="B148" s="768"/>
      <c r="C148" s="768"/>
      <c r="D148" s="768"/>
      <c r="E148" s="768"/>
      <c r="F148" s="586"/>
    </row>
    <row r="149" spans="1:6" ht="15" customHeight="1" thickBot="1" x14ac:dyDescent="0.35">
      <c r="A149" s="140"/>
      <c r="B149" s="141"/>
      <c r="C149" s="141"/>
      <c r="D149" s="141"/>
      <c r="E149" s="141"/>
      <c r="F149" s="118"/>
    </row>
    <row r="150" spans="1:6" ht="24.9" customHeight="1" thickTop="1" thickBot="1" x14ac:dyDescent="0.35">
      <c r="A150" s="802" t="s">
        <v>37</v>
      </c>
      <c r="B150" s="803"/>
      <c r="C150" s="803"/>
      <c r="D150" s="803"/>
      <c r="E150" s="826"/>
      <c r="F150" s="827"/>
    </row>
    <row r="151" spans="1:6" ht="15" customHeight="1" thickTop="1" x14ac:dyDescent="0.3">
      <c r="A151" s="22"/>
      <c r="B151" s="1"/>
      <c r="C151" s="1"/>
      <c r="D151" s="1"/>
      <c r="E151" s="1"/>
      <c r="F151" s="1"/>
    </row>
    <row r="152" spans="1:6" ht="15" customHeight="1" thickBot="1" x14ac:dyDescent="0.35">
      <c r="A152" s="22"/>
      <c r="B152" s="1"/>
      <c r="C152" s="1"/>
      <c r="D152" s="1"/>
      <c r="E152" s="1"/>
      <c r="F152" s="1"/>
    </row>
    <row r="153" spans="1:6" ht="30" customHeight="1" x14ac:dyDescent="0.3">
      <c r="A153" s="775" t="s">
        <v>571</v>
      </c>
      <c r="B153" s="776"/>
      <c r="C153" s="776"/>
      <c r="D153" s="776"/>
      <c r="E153" s="776"/>
      <c r="F153" s="777"/>
    </row>
    <row r="154" spans="1:6" ht="15" customHeight="1" thickBot="1" x14ac:dyDescent="0.35">
      <c r="A154" s="149"/>
      <c r="B154" s="150"/>
      <c r="C154" s="150"/>
      <c r="D154" s="150"/>
      <c r="E154" s="150"/>
      <c r="F154" s="151"/>
    </row>
    <row r="155" spans="1:6" ht="15" customHeight="1" thickTop="1" thickBot="1" x14ac:dyDescent="0.35">
      <c r="A155" s="153" t="s">
        <v>38</v>
      </c>
      <c r="B155" s="778" t="s">
        <v>39</v>
      </c>
      <c r="C155" s="778"/>
      <c r="D155" s="778"/>
      <c r="E155" s="778" t="s">
        <v>411</v>
      </c>
      <c r="F155" s="787"/>
    </row>
    <row r="156" spans="1:6" ht="15" customHeight="1" thickTop="1" x14ac:dyDescent="0.3">
      <c r="A156" s="152"/>
      <c r="B156" s="779"/>
      <c r="C156" s="779"/>
      <c r="D156" s="779"/>
      <c r="E156" s="788"/>
      <c r="F156" s="789"/>
    </row>
    <row r="157" spans="1:6" ht="15" customHeight="1" x14ac:dyDescent="0.3">
      <c r="A157" s="224" t="s">
        <v>143</v>
      </c>
      <c r="B157" s="773" t="s">
        <v>95</v>
      </c>
      <c r="C157" s="773"/>
      <c r="D157" s="773"/>
      <c r="E157" s="824"/>
      <c r="F157" s="825"/>
    </row>
    <row r="158" spans="1:6" ht="15" customHeight="1" x14ac:dyDescent="0.3">
      <c r="A158" s="225" t="s">
        <v>144</v>
      </c>
      <c r="B158" s="774" t="s">
        <v>100</v>
      </c>
      <c r="C158" s="774"/>
      <c r="D158" s="774"/>
      <c r="E158" s="824"/>
      <c r="F158" s="825"/>
    </row>
    <row r="159" spans="1:6" ht="15" customHeight="1" x14ac:dyDescent="0.3">
      <c r="A159" s="226" t="s">
        <v>136</v>
      </c>
      <c r="B159" s="808" t="s">
        <v>103</v>
      </c>
      <c r="C159" s="808"/>
      <c r="D159" s="808"/>
      <c r="E159" s="824"/>
      <c r="F159" s="825"/>
    </row>
    <row r="160" spans="1:6" ht="15" customHeight="1" x14ac:dyDescent="0.3">
      <c r="A160" s="226" t="s">
        <v>182</v>
      </c>
      <c r="B160" s="808" t="s">
        <v>656</v>
      </c>
      <c r="C160" s="808"/>
      <c r="D160" s="808"/>
      <c r="E160" s="824"/>
      <c r="F160" s="825"/>
    </row>
    <row r="161" spans="1:6" ht="15" customHeight="1" x14ac:dyDescent="0.3">
      <c r="A161" s="226" t="s">
        <v>249</v>
      </c>
      <c r="B161" s="808" t="s">
        <v>250</v>
      </c>
      <c r="C161" s="808"/>
      <c r="D161" s="808"/>
      <c r="E161" s="824"/>
      <c r="F161" s="825"/>
    </row>
    <row r="162" spans="1:6" ht="15" customHeight="1" x14ac:dyDescent="0.3">
      <c r="A162" s="226" t="s">
        <v>327</v>
      </c>
      <c r="B162" s="808" t="s">
        <v>328</v>
      </c>
      <c r="C162" s="808"/>
      <c r="D162" s="808"/>
      <c r="E162" s="824"/>
      <c r="F162" s="825"/>
    </row>
    <row r="163" spans="1:6" ht="15" customHeight="1" x14ac:dyDescent="0.3">
      <c r="A163" s="226" t="s">
        <v>334</v>
      </c>
      <c r="B163" s="808" t="s">
        <v>335</v>
      </c>
      <c r="C163" s="808"/>
      <c r="D163" s="808"/>
      <c r="E163" s="824"/>
      <c r="F163" s="825"/>
    </row>
    <row r="164" spans="1:6" ht="15" customHeight="1" x14ac:dyDescent="0.3">
      <c r="A164" s="226" t="s">
        <v>349</v>
      </c>
      <c r="B164" s="808" t="s">
        <v>350</v>
      </c>
      <c r="C164" s="808"/>
      <c r="D164" s="808"/>
      <c r="E164" s="824"/>
      <c r="F164" s="825"/>
    </row>
    <row r="165" spans="1:6" ht="15" customHeight="1" x14ac:dyDescent="0.3">
      <c r="A165" s="226" t="s">
        <v>372</v>
      </c>
      <c r="B165" s="808" t="s">
        <v>373</v>
      </c>
      <c r="C165" s="808"/>
      <c r="D165" s="808"/>
      <c r="E165" s="824"/>
      <c r="F165" s="825"/>
    </row>
    <row r="166" spans="1:6" ht="15" customHeight="1" thickBot="1" x14ac:dyDescent="0.35">
      <c r="A166" s="159"/>
      <c r="B166" s="815"/>
      <c r="C166" s="815"/>
      <c r="D166" s="815"/>
      <c r="E166" s="816"/>
      <c r="F166" s="817"/>
    </row>
    <row r="167" spans="1:6" ht="24.9" customHeight="1" thickTop="1" thickBot="1" x14ac:dyDescent="0.35">
      <c r="A167" s="811" t="s">
        <v>37</v>
      </c>
      <c r="B167" s="812"/>
      <c r="C167" s="812"/>
      <c r="D167" s="812"/>
      <c r="E167" s="828"/>
      <c r="F167" s="829"/>
    </row>
    <row r="168" spans="1:6" ht="15" customHeight="1" thickTop="1" x14ac:dyDescent="0.3"/>
  </sheetData>
  <mergeCells count="42">
    <mergeCell ref="B162:D162"/>
    <mergeCell ref="E162:F162"/>
    <mergeCell ref="B163:D163"/>
    <mergeCell ref="E163:F163"/>
    <mergeCell ref="B161:D161"/>
    <mergeCell ref="E161:F161"/>
    <mergeCell ref="A167:D167"/>
    <mergeCell ref="E167:F167"/>
    <mergeCell ref="B166:D166"/>
    <mergeCell ref="E166:F166"/>
    <mergeCell ref="B164:D164"/>
    <mergeCell ref="E164:F164"/>
    <mergeCell ref="B165:D165"/>
    <mergeCell ref="E165:F165"/>
    <mergeCell ref="E160:F160"/>
    <mergeCell ref="B158:D158"/>
    <mergeCell ref="E158:F158"/>
    <mergeCell ref="B159:D159"/>
    <mergeCell ref="E159:F159"/>
    <mergeCell ref="B160:D160"/>
    <mergeCell ref="B157:D157"/>
    <mergeCell ref="E157:F157"/>
    <mergeCell ref="A148:E148"/>
    <mergeCell ref="A150:D150"/>
    <mergeCell ref="E150:F150"/>
    <mergeCell ref="A153:F153"/>
    <mergeCell ref="B155:D155"/>
    <mergeCell ref="E155:F155"/>
    <mergeCell ref="B156:D156"/>
    <mergeCell ref="E156:F156"/>
    <mergeCell ref="A127:E127"/>
    <mergeCell ref="A71:E71"/>
    <mergeCell ref="A100:E100"/>
    <mergeCell ref="A108:E108"/>
    <mergeCell ref="A117:E117"/>
    <mergeCell ref="A78:E78"/>
    <mergeCell ref="A69:E69"/>
    <mergeCell ref="A2:F2"/>
    <mergeCell ref="A3:F3"/>
    <mergeCell ref="A19:E19"/>
    <mergeCell ref="A29:E29"/>
    <mergeCell ref="A50:E5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37"/>
  <sheetViews>
    <sheetView topLeftCell="A222" zoomScaleNormal="100" zoomScaleSheetLayoutView="100" workbookViewId="0">
      <selection activeCell="E236" sqref="E236:F236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x14ac:dyDescent="0.3">
      <c r="A1" s="227"/>
    </row>
    <row r="2" spans="1:6" ht="15.6" x14ac:dyDescent="0.3">
      <c r="A2" s="820" t="s">
        <v>570</v>
      </c>
      <c r="B2" s="820"/>
      <c r="C2" s="820"/>
      <c r="D2" s="820"/>
      <c r="E2" s="820"/>
      <c r="F2" s="820"/>
    </row>
    <row r="3" spans="1:6" ht="15.6" x14ac:dyDescent="0.3">
      <c r="A3" s="820" t="s">
        <v>473</v>
      </c>
      <c r="B3" s="820"/>
      <c r="C3" s="820"/>
      <c r="D3" s="820"/>
      <c r="E3" s="820"/>
      <c r="F3" s="820"/>
    </row>
    <row r="4" spans="1:6" ht="15" thickBot="1" x14ac:dyDescent="0.35">
      <c r="A4" s="227"/>
    </row>
    <row r="5" spans="1:6" ht="24.9" customHeight="1" thickTop="1" thickBot="1" x14ac:dyDescent="0.35">
      <c r="A5" s="490" t="s">
        <v>38</v>
      </c>
      <c r="B5" s="491" t="s">
        <v>0</v>
      </c>
      <c r="C5" s="492" t="s">
        <v>1</v>
      </c>
      <c r="D5" s="493" t="s">
        <v>83</v>
      </c>
      <c r="E5" s="494" t="s">
        <v>104</v>
      </c>
      <c r="F5" s="495" t="s">
        <v>2</v>
      </c>
    </row>
    <row r="6" spans="1:6" s="45" customFormat="1" ht="15" customHeight="1" thickTop="1" x14ac:dyDescent="0.3">
      <c r="A6" s="488"/>
      <c r="B6" s="470"/>
      <c r="C6" s="471"/>
      <c r="D6" s="472"/>
      <c r="E6" s="473"/>
      <c r="F6" s="474"/>
    </row>
    <row r="7" spans="1:6" s="497" customFormat="1" ht="15" customHeight="1" x14ac:dyDescent="0.3">
      <c r="A7" s="629" t="s">
        <v>143</v>
      </c>
      <c r="B7" s="630" t="s">
        <v>95</v>
      </c>
      <c r="C7" s="50"/>
      <c r="D7" s="92"/>
      <c r="E7" s="51"/>
      <c r="F7" s="93"/>
    </row>
    <row r="8" spans="1:6" s="497" customFormat="1" ht="15" customHeight="1" x14ac:dyDescent="0.3">
      <c r="A8" s="42"/>
      <c r="B8" s="95"/>
      <c r="C8" s="50"/>
      <c r="D8" s="92"/>
      <c r="E8" s="51"/>
      <c r="F8" s="93"/>
    </row>
    <row r="9" spans="1:6" s="622" customFormat="1" ht="15" customHeight="1" x14ac:dyDescent="0.25">
      <c r="A9" s="44" t="s">
        <v>96</v>
      </c>
      <c r="B9" s="97" t="s">
        <v>88</v>
      </c>
      <c r="C9" s="162"/>
      <c r="D9" s="620"/>
      <c r="E9" s="502"/>
      <c r="F9" s="621"/>
    </row>
    <row r="10" spans="1:6" s="497" customFormat="1" ht="15" customHeight="1" x14ac:dyDescent="0.3">
      <c r="A10" s="43" t="s">
        <v>97</v>
      </c>
      <c r="B10" s="94" t="s">
        <v>99</v>
      </c>
      <c r="C10" s="161" t="s">
        <v>412</v>
      </c>
      <c r="D10" s="164">
        <f>8*3.6</f>
        <v>28.8</v>
      </c>
      <c r="E10" s="602"/>
      <c r="F10" s="603"/>
    </row>
    <row r="11" spans="1:6" s="497" customFormat="1" ht="15" customHeight="1" x14ac:dyDescent="0.3">
      <c r="A11" s="43" t="s">
        <v>98</v>
      </c>
      <c r="B11" s="94" t="s">
        <v>145</v>
      </c>
      <c r="C11" s="161" t="s">
        <v>414</v>
      </c>
      <c r="D11" s="164">
        <v>1</v>
      </c>
      <c r="E11" s="602"/>
      <c r="F11" s="603"/>
    </row>
    <row r="12" spans="1:6" s="623" customFormat="1" ht="15" customHeight="1" x14ac:dyDescent="0.25">
      <c r="A12" s="44" t="s">
        <v>553</v>
      </c>
      <c r="B12" s="97" t="s">
        <v>552</v>
      </c>
      <c r="C12" s="162"/>
      <c r="D12" s="620"/>
      <c r="E12" s="602"/>
      <c r="F12" s="603"/>
    </row>
    <row r="13" spans="1:6" s="479" customFormat="1" ht="15" customHeight="1" x14ac:dyDescent="0.3">
      <c r="A13" s="43" t="s">
        <v>554</v>
      </c>
      <c r="B13" s="94" t="s">
        <v>606</v>
      </c>
      <c r="C13" s="161" t="s">
        <v>412</v>
      </c>
      <c r="D13" s="164">
        <f>6*0.6*0.6*1*1.2</f>
        <v>2.5919999999999996</v>
      </c>
      <c r="E13" s="602"/>
      <c r="F13" s="603"/>
    </row>
    <row r="14" spans="1:6" s="497" customFormat="1" ht="15" customHeight="1" thickBot="1" x14ac:dyDescent="0.35">
      <c r="A14" s="42"/>
      <c r="B14" s="95"/>
      <c r="C14" s="50"/>
      <c r="D14" s="92"/>
      <c r="E14" s="584"/>
      <c r="F14" s="585"/>
    </row>
    <row r="15" spans="1:6" s="497" customFormat="1" ht="15" customHeight="1" thickBot="1" x14ac:dyDescent="0.35">
      <c r="A15" s="767" t="s">
        <v>189</v>
      </c>
      <c r="B15" s="768"/>
      <c r="C15" s="768"/>
      <c r="D15" s="768"/>
      <c r="E15" s="768"/>
      <c r="F15" s="586"/>
    </row>
    <row r="16" spans="1:6" s="504" customFormat="1" ht="15" customHeight="1" x14ac:dyDescent="0.3">
      <c r="A16" s="498"/>
      <c r="B16" s="499"/>
      <c r="C16" s="500"/>
      <c r="D16" s="501"/>
      <c r="E16" s="502"/>
      <c r="F16" s="503"/>
    </row>
    <row r="17" spans="1:6" s="504" customFormat="1" ht="15" customHeight="1" x14ac:dyDescent="0.3">
      <c r="A17" s="58" t="s">
        <v>144</v>
      </c>
      <c r="B17" s="526" t="s">
        <v>575</v>
      </c>
      <c r="C17" s="60"/>
      <c r="D17" s="394"/>
      <c r="E17" s="80"/>
      <c r="F17" s="476"/>
    </row>
    <row r="18" spans="1:6" s="504" customFormat="1" ht="15" customHeight="1" x14ac:dyDescent="0.3">
      <c r="A18" s="505"/>
      <c r="B18" s="409"/>
      <c r="C18" s="500"/>
      <c r="D18" s="501"/>
      <c r="E18" s="502"/>
      <c r="F18" s="503"/>
    </row>
    <row r="19" spans="1:6" s="524" customFormat="1" ht="15" customHeight="1" x14ac:dyDescent="0.25">
      <c r="A19" s="496" t="s">
        <v>101</v>
      </c>
      <c r="B19" s="371" t="s">
        <v>576</v>
      </c>
      <c r="C19" s="506"/>
      <c r="D19" s="507"/>
      <c r="E19" s="508"/>
      <c r="F19" s="385"/>
    </row>
    <row r="20" spans="1:6" s="504" customFormat="1" ht="24.9" customHeight="1" x14ac:dyDescent="0.3">
      <c r="A20" s="509" t="s">
        <v>102</v>
      </c>
      <c r="B20" s="510" t="s">
        <v>474</v>
      </c>
      <c r="C20" s="511" t="s">
        <v>475</v>
      </c>
      <c r="D20" s="70">
        <v>1</v>
      </c>
      <c r="E20" s="383"/>
      <c r="F20" s="385"/>
    </row>
    <row r="21" spans="1:6" s="524" customFormat="1" ht="15" customHeight="1" x14ac:dyDescent="0.25">
      <c r="A21" s="496" t="s">
        <v>105</v>
      </c>
      <c r="B21" s="371" t="s">
        <v>577</v>
      </c>
      <c r="C21" s="506"/>
      <c r="D21" s="507"/>
      <c r="E21" s="508"/>
      <c r="F21" s="385"/>
    </row>
    <row r="22" spans="1:6" s="504" customFormat="1" ht="15" customHeight="1" x14ac:dyDescent="0.3">
      <c r="A22" s="509" t="s">
        <v>109</v>
      </c>
      <c r="B22" s="510" t="s">
        <v>476</v>
      </c>
      <c r="C22" s="511" t="s">
        <v>3</v>
      </c>
      <c r="D22" s="70">
        <f>8*3.6*0.6</f>
        <v>17.28</v>
      </c>
      <c r="E22" s="383"/>
      <c r="F22" s="385"/>
    </row>
    <row r="23" spans="1:6" s="504" customFormat="1" ht="15" customHeight="1" x14ac:dyDescent="0.3">
      <c r="A23" s="509" t="s">
        <v>417</v>
      </c>
      <c r="B23" s="381" t="s">
        <v>477</v>
      </c>
      <c r="C23" s="511" t="s">
        <v>8</v>
      </c>
      <c r="D23" s="387">
        <f>8*3.6</f>
        <v>28.8</v>
      </c>
      <c r="E23" s="383"/>
      <c r="F23" s="385"/>
    </row>
    <row r="24" spans="1:6" s="504" customFormat="1" ht="15" customHeight="1" thickBot="1" x14ac:dyDescent="0.35">
      <c r="A24" s="509"/>
      <c r="B24" s="381"/>
      <c r="C24" s="511"/>
      <c r="D24" s="387"/>
      <c r="E24" s="383"/>
      <c r="F24" s="385"/>
    </row>
    <row r="25" spans="1:6" s="504" customFormat="1" ht="15" customHeight="1" thickBot="1" x14ac:dyDescent="0.35">
      <c r="A25" s="821" t="s">
        <v>687</v>
      </c>
      <c r="B25" s="822"/>
      <c r="C25" s="822"/>
      <c r="D25" s="822"/>
      <c r="E25" s="823"/>
      <c r="F25" s="604"/>
    </row>
    <row r="26" spans="1:6" s="504" customFormat="1" ht="15" customHeight="1" x14ac:dyDescent="0.3">
      <c r="A26" s="509"/>
      <c r="B26" s="381"/>
      <c r="C26" s="511"/>
      <c r="D26" s="387"/>
      <c r="E26" s="383"/>
      <c r="F26" s="385"/>
    </row>
    <row r="27" spans="1:6" s="504" customFormat="1" ht="15" customHeight="1" x14ac:dyDescent="0.3">
      <c r="A27" s="58" t="s">
        <v>136</v>
      </c>
      <c r="B27" s="526" t="s">
        <v>578</v>
      </c>
      <c r="C27" s="60"/>
      <c r="D27" s="394"/>
      <c r="E27" s="80"/>
      <c r="F27" s="476"/>
    </row>
    <row r="28" spans="1:6" s="504" customFormat="1" ht="15" customHeight="1" x14ac:dyDescent="0.3">
      <c r="A28" s="64"/>
      <c r="B28" s="371"/>
      <c r="C28" s="60"/>
      <c r="D28" s="394"/>
      <c r="E28" s="80"/>
      <c r="F28" s="476"/>
    </row>
    <row r="29" spans="1:6" s="524" customFormat="1" ht="15" customHeight="1" x14ac:dyDescent="0.25">
      <c r="A29" s="64" t="s">
        <v>4</v>
      </c>
      <c r="B29" s="372" t="s">
        <v>579</v>
      </c>
      <c r="C29" s="60"/>
      <c r="D29" s="394"/>
      <c r="E29" s="80"/>
      <c r="F29" s="476"/>
    </row>
    <row r="30" spans="1:6" s="504" customFormat="1" ht="15" customHeight="1" x14ac:dyDescent="0.3">
      <c r="A30" s="64" t="s">
        <v>5</v>
      </c>
      <c r="B30" s="373" t="s">
        <v>607</v>
      </c>
      <c r="C30" s="60"/>
      <c r="D30" s="394"/>
      <c r="E30" s="80"/>
      <c r="F30" s="476"/>
    </row>
    <row r="31" spans="1:6" s="504" customFormat="1" ht="15" customHeight="1" x14ac:dyDescent="0.3">
      <c r="A31" s="65" t="s">
        <v>7</v>
      </c>
      <c r="B31" s="374" t="s">
        <v>138</v>
      </c>
      <c r="C31" s="60" t="s">
        <v>3</v>
      </c>
      <c r="D31" s="392">
        <f>0.6*0.15*0.15*6*1.1</f>
        <v>8.9100000000000013E-2</v>
      </c>
      <c r="E31" s="393"/>
      <c r="F31" s="385"/>
    </row>
    <row r="32" spans="1:6" s="504" customFormat="1" ht="15" customHeight="1" x14ac:dyDescent="0.3">
      <c r="A32" s="65" t="s">
        <v>85</v>
      </c>
      <c r="B32" s="374" t="s">
        <v>582</v>
      </c>
      <c r="C32" s="60" t="s">
        <v>84</v>
      </c>
      <c r="D32" s="392">
        <f>+D31*60</f>
        <v>5.346000000000001</v>
      </c>
      <c r="E32" s="393"/>
      <c r="F32" s="385"/>
    </row>
    <row r="33" spans="1:6" s="504" customFormat="1" ht="15" customHeight="1" x14ac:dyDescent="0.3">
      <c r="A33" s="65" t="s">
        <v>86</v>
      </c>
      <c r="B33" s="374" t="s">
        <v>118</v>
      </c>
      <c r="C33" s="60" t="s">
        <v>8</v>
      </c>
      <c r="D33" s="392">
        <f>2*0.6*0.6*6*1.1</f>
        <v>4.7520000000000007</v>
      </c>
      <c r="E33" s="393"/>
      <c r="F33" s="385"/>
    </row>
    <row r="34" spans="1:6" s="504" customFormat="1" ht="15" customHeight="1" x14ac:dyDescent="0.3">
      <c r="A34" s="64" t="s">
        <v>9</v>
      </c>
      <c r="B34" s="373" t="s">
        <v>583</v>
      </c>
      <c r="C34" s="60"/>
      <c r="D34" s="392"/>
      <c r="E34" s="393"/>
      <c r="F34" s="385"/>
    </row>
    <row r="35" spans="1:6" s="504" customFormat="1" ht="15" customHeight="1" x14ac:dyDescent="0.3">
      <c r="A35" s="65" t="s">
        <v>115</v>
      </c>
      <c r="B35" s="374" t="s">
        <v>584</v>
      </c>
      <c r="C35" s="60" t="s">
        <v>8</v>
      </c>
      <c r="D35" s="392">
        <v>27.05</v>
      </c>
      <c r="E35" s="393"/>
      <c r="F35" s="385"/>
    </row>
    <row r="36" spans="1:6" s="504" customFormat="1" ht="15" customHeight="1" x14ac:dyDescent="0.3">
      <c r="A36" s="65" t="s">
        <v>116</v>
      </c>
      <c r="B36" s="374" t="s">
        <v>135</v>
      </c>
      <c r="C36" s="60" t="s">
        <v>8</v>
      </c>
      <c r="D36" s="392">
        <f>+D35</f>
        <v>27.05</v>
      </c>
      <c r="E36" s="393"/>
      <c r="F36" s="385"/>
    </row>
    <row r="37" spans="1:6" s="583" customFormat="1" ht="15" customHeight="1" x14ac:dyDescent="0.3">
      <c r="A37" s="65" t="s">
        <v>661</v>
      </c>
      <c r="B37" s="183" t="s">
        <v>118</v>
      </c>
      <c r="C37" s="163" t="s">
        <v>131</v>
      </c>
      <c r="D37" s="184">
        <f>23.8*0.2</f>
        <v>4.7600000000000007</v>
      </c>
      <c r="E37" s="181"/>
      <c r="F37" s="385"/>
    </row>
    <row r="38" spans="1:6" s="504" customFormat="1" ht="15" customHeight="1" x14ac:dyDescent="0.3">
      <c r="A38" s="64" t="s">
        <v>10</v>
      </c>
      <c r="B38" s="372" t="s">
        <v>586</v>
      </c>
      <c r="C38" s="60"/>
      <c r="D38" s="392"/>
      <c r="E38" s="393"/>
      <c r="F38" s="385"/>
    </row>
    <row r="39" spans="1:6" s="504" customFormat="1" ht="15" customHeight="1" x14ac:dyDescent="0.3">
      <c r="A39" s="64" t="s">
        <v>11</v>
      </c>
      <c r="B39" s="375" t="s">
        <v>587</v>
      </c>
      <c r="C39" s="512"/>
      <c r="D39" s="513"/>
      <c r="E39" s="393"/>
      <c r="F39" s="385"/>
    </row>
    <row r="40" spans="1:6" s="504" customFormat="1" ht="15" customHeight="1" x14ac:dyDescent="0.3">
      <c r="A40" s="65" t="s">
        <v>147</v>
      </c>
      <c r="B40" s="376" t="s">
        <v>138</v>
      </c>
      <c r="C40" s="512" t="s">
        <v>3</v>
      </c>
      <c r="D40" s="513">
        <f>0.15*0.15*(2.7*3+3.5*3)</f>
        <v>0.41850000000000004</v>
      </c>
      <c r="E40" s="393"/>
      <c r="F40" s="385"/>
    </row>
    <row r="41" spans="1:6" s="504" customFormat="1" ht="15" customHeight="1" x14ac:dyDescent="0.3">
      <c r="A41" s="65" t="s">
        <v>148</v>
      </c>
      <c r="B41" s="376" t="s">
        <v>585</v>
      </c>
      <c r="C41" s="512" t="s">
        <v>84</v>
      </c>
      <c r="D41" s="513">
        <f>+D40*100</f>
        <v>41.85</v>
      </c>
      <c r="E41" s="393"/>
      <c r="F41" s="385"/>
    </row>
    <row r="42" spans="1:6" s="504" customFormat="1" ht="15" customHeight="1" x14ac:dyDescent="0.3">
      <c r="A42" s="65" t="s">
        <v>149</v>
      </c>
      <c r="B42" s="376" t="s">
        <v>118</v>
      </c>
      <c r="C42" s="512" t="s">
        <v>8</v>
      </c>
      <c r="D42" s="513">
        <f>0.4*(3*2.7+3*3.5)</f>
        <v>7.4400000000000013</v>
      </c>
      <c r="E42" s="393"/>
      <c r="F42" s="385"/>
    </row>
    <row r="43" spans="1:6" s="504" customFormat="1" ht="15" customHeight="1" x14ac:dyDescent="0.3">
      <c r="A43" s="64" t="s">
        <v>12</v>
      </c>
      <c r="B43" s="373" t="s">
        <v>588</v>
      </c>
      <c r="C43" s="60"/>
      <c r="D43" s="394"/>
      <c r="E43" s="80"/>
      <c r="F43" s="385"/>
    </row>
    <row r="44" spans="1:6" s="504" customFormat="1" ht="15" customHeight="1" x14ac:dyDescent="0.3">
      <c r="A44" s="65" t="s">
        <v>150</v>
      </c>
      <c r="B44" s="374" t="s">
        <v>138</v>
      </c>
      <c r="C44" s="60" t="s">
        <v>3</v>
      </c>
      <c r="D44" s="392">
        <f>0.15*0.2*(2*8+3*3.6)</f>
        <v>0.80399999999999994</v>
      </c>
      <c r="E44" s="393"/>
      <c r="F44" s="385"/>
    </row>
    <row r="45" spans="1:6" s="504" customFormat="1" ht="15" customHeight="1" x14ac:dyDescent="0.3">
      <c r="A45" s="65" t="s">
        <v>151</v>
      </c>
      <c r="B45" s="374" t="s">
        <v>585</v>
      </c>
      <c r="C45" s="60" t="s">
        <v>84</v>
      </c>
      <c r="D45" s="392">
        <f>+D44*60</f>
        <v>48.239999999999995</v>
      </c>
      <c r="E45" s="393"/>
      <c r="F45" s="385"/>
    </row>
    <row r="46" spans="1:6" s="504" customFormat="1" ht="15" customHeight="1" x14ac:dyDescent="0.3">
      <c r="A46" s="65" t="s">
        <v>152</v>
      </c>
      <c r="B46" s="374" t="s">
        <v>118</v>
      </c>
      <c r="C46" s="60" t="s">
        <v>8</v>
      </c>
      <c r="D46" s="392">
        <f>+(2*8+3*3.6)*0.3*2</f>
        <v>16.079999999999998</v>
      </c>
      <c r="E46" s="393"/>
      <c r="F46" s="385"/>
    </row>
    <row r="47" spans="1:6" s="504" customFormat="1" ht="15" customHeight="1" x14ac:dyDescent="0.3">
      <c r="A47" s="64" t="s">
        <v>13</v>
      </c>
      <c r="B47" s="373" t="s">
        <v>480</v>
      </c>
      <c r="C47" s="60"/>
      <c r="D47" s="394"/>
      <c r="E47" s="80"/>
      <c r="F47" s="385"/>
    </row>
    <row r="48" spans="1:6" s="504" customFormat="1" ht="15" customHeight="1" x14ac:dyDescent="0.3">
      <c r="A48" s="65" t="s">
        <v>153</v>
      </c>
      <c r="B48" s="374" t="s">
        <v>138</v>
      </c>
      <c r="C48" s="60" t="s">
        <v>3</v>
      </c>
      <c r="D48" s="392">
        <f>0.2*0.15*3.98*1.1*2</f>
        <v>0.26268000000000002</v>
      </c>
      <c r="E48" s="393"/>
      <c r="F48" s="385"/>
    </row>
    <row r="49" spans="1:6" s="504" customFormat="1" ht="15" customHeight="1" x14ac:dyDescent="0.3">
      <c r="A49" s="65" t="s">
        <v>154</v>
      </c>
      <c r="B49" s="374" t="s">
        <v>580</v>
      </c>
      <c r="C49" s="60" t="s">
        <v>84</v>
      </c>
      <c r="D49" s="392">
        <f>+D48*60</f>
        <v>15.760800000000001</v>
      </c>
      <c r="E49" s="393"/>
      <c r="F49" s="385"/>
    </row>
    <row r="50" spans="1:6" s="504" customFormat="1" ht="15" customHeight="1" x14ac:dyDescent="0.3">
      <c r="A50" s="65" t="s">
        <v>155</v>
      </c>
      <c r="B50" s="374" t="s">
        <v>118</v>
      </c>
      <c r="C50" s="60" t="s">
        <v>8</v>
      </c>
      <c r="D50" s="392">
        <f>0.25*3.98*1.1</f>
        <v>1.0945</v>
      </c>
      <c r="E50" s="393"/>
      <c r="F50" s="385"/>
    </row>
    <row r="51" spans="1:6" s="504" customFormat="1" ht="15" customHeight="1" x14ac:dyDescent="0.3">
      <c r="A51" s="64" t="s">
        <v>156</v>
      </c>
      <c r="B51" s="395" t="s">
        <v>164</v>
      </c>
      <c r="C51" s="514"/>
      <c r="D51" s="515"/>
      <c r="E51" s="401"/>
      <c r="F51" s="385"/>
    </row>
    <row r="52" spans="1:6" s="504" customFormat="1" ht="15" customHeight="1" x14ac:dyDescent="0.3">
      <c r="A52" s="77" t="s">
        <v>157</v>
      </c>
      <c r="B52" s="377" t="s">
        <v>589</v>
      </c>
      <c r="C52" s="514" t="s">
        <v>8</v>
      </c>
      <c r="D52" s="515">
        <f>+(3*((3.1+2.3)/2*3.9)+8*(2.3+1))-(3*1*2.2+2*1.2*1.2)</f>
        <v>48.510000000000005</v>
      </c>
      <c r="E52" s="401"/>
      <c r="F52" s="385"/>
    </row>
    <row r="53" spans="1:6" s="504" customFormat="1" ht="15" customHeight="1" x14ac:dyDescent="0.3">
      <c r="A53" s="64" t="s">
        <v>159</v>
      </c>
      <c r="B53" s="395" t="s">
        <v>481</v>
      </c>
      <c r="C53" s="514"/>
      <c r="D53" s="515"/>
      <c r="E53" s="401"/>
      <c r="F53" s="385"/>
    </row>
    <row r="54" spans="1:6" s="504" customFormat="1" ht="15" customHeight="1" x14ac:dyDescent="0.3">
      <c r="A54" s="77" t="s">
        <v>160</v>
      </c>
      <c r="B54" s="377" t="s">
        <v>482</v>
      </c>
      <c r="C54" s="514" t="s">
        <v>8</v>
      </c>
      <c r="D54" s="515">
        <f>+(4*((3.5+2.7)/2*3.9)+8*(2.7+3.5))-(3*1*2.2+2*1.2*1.2)</f>
        <v>88.48</v>
      </c>
      <c r="E54" s="401"/>
      <c r="F54" s="385"/>
    </row>
    <row r="55" spans="1:6" s="504" customFormat="1" ht="15" customHeight="1" x14ac:dyDescent="0.3">
      <c r="A55" s="77" t="s">
        <v>161</v>
      </c>
      <c r="B55" s="377" t="s">
        <v>483</v>
      </c>
      <c r="C55" s="514" t="s">
        <v>8</v>
      </c>
      <c r="D55" s="515">
        <f>+(((3.5+2.7)/2*3.9)+8*(2.7+3.5))-(2*1*2.2+2*1.2*1.2)</f>
        <v>54.41</v>
      </c>
      <c r="E55" s="401"/>
      <c r="F55" s="385"/>
    </row>
    <row r="56" spans="1:6" s="504" customFormat="1" ht="15" customHeight="1" thickBot="1" x14ac:dyDescent="0.35">
      <c r="A56" s="77"/>
      <c r="B56" s="378"/>
      <c r="C56" s="63"/>
      <c r="D56" s="206"/>
      <c r="E56" s="207"/>
      <c r="F56" s="516"/>
    </row>
    <row r="57" spans="1:6" s="504" customFormat="1" ht="15" customHeight="1" thickBot="1" x14ac:dyDescent="0.35">
      <c r="A57" s="830" t="s">
        <v>14</v>
      </c>
      <c r="B57" s="831"/>
      <c r="C57" s="831"/>
      <c r="D57" s="831"/>
      <c r="E57" s="832"/>
      <c r="F57" s="604"/>
    </row>
    <row r="58" spans="1:6" s="504" customFormat="1" ht="15" customHeight="1" x14ac:dyDescent="0.3">
      <c r="A58" s="411"/>
      <c r="B58" s="390"/>
      <c r="C58" s="390"/>
      <c r="D58" s="390"/>
      <c r="E58" s="412"/>
      <c r="F58" s="517"/>
    </row>
    <row r="59" spans="1:6" s="504" customFormat="1" ht="15" customHeight="1" x14ac:dyDescent="0.3">
      <c r="A59" s="58" t="s">
        <v>176</v>
      </c>
      <c r="B59" s="526" t="s">
        <v>590</v>
      </c>
      <c r="C59" s="60"/>
      <c r="D59" s="394"/>
      <c r="E59" s="80"/>
      <c r="F59" s="476"/>
    </row>
    <row r="60" spans="1:6" s="504" customFormat="1" ht="15" customHeight="1" x14ac:dyDescent="0.3">
      <c r="A60" s="64"/>
      <c r="B60" s="372"/>
      <c r="C60" s="379"/>
      <c r="D60" s="380"/>
      <c r="E60" s="379"/>
      <c r="F60" s="518"/>
    </row>
    <row r="61" spans="1:6" s="504" customFormat="1" ht="15" customHeight="1" x14ac:dyDescent="0.3">
      <c r="A61" s="64" t="s">
        <v>53</v>
      </c>
      <c r="B61" s="372" t="s">
        <v>591</v>
      </c>
      <c r="C61" s="379"/>
      <c r="D61" s="380"/>
      <c r="E61" s="379"/>
      <c r="F61" s="518"/>
    </row>
    <row r="62" spans="1:6" s="504" customFormat="1" ht="24.9" customHeight="1" x14ac:dyDescent="0.3">
      <c r="A62" s="66" t="s">
        <v>82</v>
      </c>
      <c r="B62" s="381" t="s">
        <v>484</v>
      </c>
      <c r="C62" s="62" t="s">
        <v>8</v>
      </c>
      <c r="D62" s="382">
        <f>6.06*4.04</f>
        <v>24.482399999999998</v>
      </c>
      <c r="E62" s="383"/>
      <c r="F62" s="385"/>
    </row>
    <row r="63" spans="1:6" s="504" customFormat="1" ht="24.9" customHeight="1" x14ac:dyDescent="0.3">
      <c r="A63" s="66" t="s">
        <v>178</v>
      </c>
      <c r="B63" s="381" t="s">
        <v>485</v>
      </c>
      <c r="C63" s="62" t="s">
        <v>15</v>
      </c>
      <c r="D63" s="382">
        <f>3.98*1.1</f>
        <v>4.3780000000000001</v>
      </c>
      <c r="E63" s="383"/>
      <c r="F63" s="385"/>
    </row>
    <row r="64" spans="1:6" s="504" customFormat="1" ht="15" customHeight="1" thickBot="1" x14ac:dyDescent="0.35">
      <c r="A64" s="78"/>
      <c r="B64" s="384"/>
      <c r="C64" s="139"/>
      <c r="D64" s="384"/>
      <c r="E64" s="139"/>
      <c r="F64" s="519"/>
    </row>
    <row r="65" spans="1:6" s="504" customFormat="1" ht="15" customHeight="1" thickBot="1" x14ac:dyDescent="0.35">
      <c r="A65" s="830" t="s">
        <v>439</v>
      </c>
      <c r="B65" s="831"/>
      <c r="C65" s="831"/>
      <c r="D65" s="831"/>
      <c r="E65" s="832"/>
      <c r="F65" s="604"/>
    </row>
    <row r="66" spans="1:6" s="504" customFormat="1" ht="15" customHeight="1" x14ac:dyDescent="0.3">
      <c r="A66" s="411"/>
      <c r="B66" s="390"/>
      <c r="C66" s="390"/>
      <c r="D66" s="390"/>
      <c r="E66" s="412"/>
      <c r="F66" s="517"/>
    </row>
    <row r="67" spans="1:6" s="479" customFormat="1" ht="15" customHeight="1" x14ac:dyDescent="0.3">
      <c r="A67" s="58" t="s">
        <v>182</v>
      </c>
      <c r="B67" s="99" t="s">
        <v>656</v>
      </c>
      <c r="C67" s="4"/>
      <c r="D67" s="24"/>
      <c r="E67" s="223"/>
      <c r="F67" s="617"/>
    </row>
    <row r="68" spans="1:6" s="479" customFormat="1" ht="15" customHeight="1" x14ac:dyDescent="0.3">
      <c r="A68" s="54"/>
      <c r="B68" s="167"/>
      <c r="C68" s="4"/>
      <c r="D68" s="24"/>
      <c r="E68" s="174"/>
      <c r="F68" s="98"/>
    </row>
    <row r="69" spans="1:6" s="479" customFormat="1" ht="15" customHeight="1" x14ac:dyDescent="0.3">
      <c r="A69" s="64" t="s">
        <v>186</v>
      </c>
      <c r="B69" s="111" t="s">
        <v>188</v>
      </c>
      <c r="C69" s="60"/>
      <c r="D69" s="131"/>
      <c r="E69" s="80"/>
      <c r="F69" s="119"/>
    </row>
    <row r="70" spans="1:6" s="479" customFormat="1" ht="15" customHeight="1" x14ac:dyDescent="0.3">
      <c r="A70" s="65" t="s">
        <v>187</v>
      </c>
      <c r="B70" s="69" t="s">
        <v>674</v>
      </c>
      <c r="C70" s="60" t="s">
        <v>15</v>
      </c>
      <c r="D70" s="131">
        <f>14*0.5*2*1.1</f>
        <v>15.400000000000002</v>
      </c>
      <c r="E70" s="393"/>
      <c r="F70" s="591"/>
    </row>
    <row r="71" spans="1:6" s="479" customFormat="1" ht="15" customHeight="1" thickBot="1" x14ac:dyDescent="0.35">
      <c r="A71" s="23"/>
      <c r="B71" s="120"/>
      <c r="C71" s="25"/>
      <c r="D71" s="208"/>
      <c r="E71" s="27"/>
      <c r="F71" s="35"/>
    </row>
    <row r="72" spans="1:6" s="479" customFormat="1" ht="15" customHeight="1" thickBot="1" x14ac:dyDescent="0.35">
      <c r="A72" s="767" t="s">
        <v>194</v>
      </c>
      <c r="B72" s="768"/>
      <c r="C72" s="768"/>
      <c r="D72" s="768"/>
      <c r="E72" s="768"/>
      <c r="F72" s="586"/>
    </row>
    <row r="73" spans="1:6" s="504" customFormat="1" ht="15" customHeight="1" x14ac:dyDescent="0.3">
      <c r="A73" s="411"/>
      <c r="B73" s="390"/>
      <c r="C73" s="390"/>
      <c r="D73" s="390"/>
      <c r="E73" s="598"/>
      <c r="F73" s="517"/>
    </row>
    <row r="74" spans="1:6" s="479" customFormat="1" ht="15" customHeight="1" x14ac:dyDescent="0.3">
      <c r="A74" s="58" t="s">
        <v>183</v>
      </c>
      <c r="B74" s="99" t="s">
        <v>184</v>
      </c>
      <c r="C74" s="4"/>
      <c r="D74" s="24"/>
      <c r="E74" s="223"/>
      <c r="F74" s="617"/>
    </row>
    <row r="75" spans="1:6" s="504" customFormat="1" ht="15" customHeight="1" x14ac:dyDescent="0.3">
      <c r="A75" s="65"/>
      <c r="B75" s="372"/>
      <c r="C75" s="60"/>
      <c r="D75" s="392"/>
      <c r="E75" s="80"/>
      <c r="F75" s="476"/>
    </row>
    <row r="76" spans="1:6" s="504" customFormat="1" ht="15" customHeight="1" x14ac:dyDescent="0.3">
      <c r="A76" s="64" t="s">
        <v>16</v>
      </c>
      <c r="B76" s="372" t="s">
        <v>592</v>
      </c>
      <c r="C76" s="60"/>
      <c r="D76" s="392"/>
      <c r="E76" s="80"/>
      <c r="F76" s="385"/>
    </row>
    <row r="77" spans="1:6" s="504" customFormat="1" ht="15" customHeight="1" x14ac:dyDescent="0.3">
      <c r="A77" s="66" t="s">
        <v>17</v>
      </c>
      <c r="B77" s="69" t="s">
        <v>419</v>
      </c>
      <c r="C77" s="62" t="s">
        <v>8</v>
      </c>
      <c r="D77" s="387">
        <f>1.2*1.2*2</f>
        <v>2.88</v>
      </c>
      <c r="E77" s="383"/>
      <c r="F77" s="385"/>
    </row>
    <row r="78" spans="1:6" s="504" customFormat="1" ht="15" customHeight="1" thickBot="1" x14ac:dyDescent="0.35">
      <c r="A78" s="77"/>
      <c r="B78" s="388"/>
      <c r="C78" s="63"/>
      <c r="D78" s="400"/>
      <c r="E78" s="207"/>
      <c r="F78" s="516"/>
    </row>
    <row r="79" spans="1:6" s="504" customFormat="1" ht="15" customHeight="1" thickBot="1" x14ac:dyDescent="0.35">
      <c r="A79" s="830" t="s">
        <v>443</v>
      </c>
      <c r="B79" s="831"/>
      <c r="C79" s="831"/>
      <c r="D79" s="831"/>
      <c r="E79" s="832"/>
      <c r="F79" s="604"/>
    </row>
    <row r="80" spans="1:6" s="504" customFormat="1" ht="15" customHeight="1" x14ac:dyDescent="0.3">
      <c r="A80" s="389"/>
      <c r="B80" s="390"/>
      <c r="C80" s="390"/>
      <c r="D80" s="390"/>
      <c r="E80" s="390"/>
      <c r="F80" s="503"/>
    </row>
    <row r="81" spans="1:6" s="479" customFormat="1" ht="15" customHeight="1" x14ac:dyDescent="0.3">
      <c r="A81" s="58" t="s">
        <v>249</v>
      </c>
      <c r="B81" s="99" t="s">
        <v>250</v>
      </c>
      <c r="C81" s="4"/>
      <c r="D81" s="24"/>
      <c r="E81" s="174"/>
      <c r="F81" s="98"/>
    </row>
    <row r="82" spans="1:6" s="504" customFormat="1" ht="15" customHeight="1" x14ac:dyDescent="0.3">
      <c r="A82" s="64"/>
      <c r="B82" s="520"/>
      <c r="C82" s="60"/>
      <c r="D82" s="394"/>
      <c r="E82" s="80"/>
      <c r="F82" s="476"/>
    </row>
    <row r="83" spans="1:6" s="504" customFormat="1" ht="15" customHeight="1" x14ac:dyDescent="0.3">
      <c r="A83" s="64" t="s">
        <v>26</v>
      </c>
      <c r="B83" s="111" t="s">
        <v>251</v>
      </c>
      <c r="C83" s="60"/>
      <c r="D83" s="394"/>
      <c r="E83" s="80"/>
      <c r="F83" s="126"/>
    </row>
    <row r="84" spans="1:6" s="504" customFormat="1" ht="15" customHeight="1" x14ac:dyDescent="0.3">
      <c r="A84" s="64" t="s">
        <v>42</v>
      </c>
      <c r="B84" s="127" t="s">
        <v>253</v>
      </c>
      <c r="C84" s="60"/>
      <c r="D84" s="394"/>
      <c r="E84" s="80"/>
      <c r="F84" s="126"/>
    </row>
    <row r="85" spans="1:6" s="504" customFormat="1" ht="15" customHeight="1" x14ac:dyDescent="0.3">
      <c r="A85" s="65" t="s">
        <v>258</v>
      </c>
      <c r="B85" s="520" t="s">
        <v>593</v>
      </c>
      <c r="C85" s="60" t="s">
        <v>15</v>
      </c>
      <c r="D85" s="392">
        <v>48</v>
      </c>
      <c r="E85" s="393"/>
      <c r="F85" s="591"/>
    </row>
    <row r="86" spans="1:6" s="504" customFormat="1" ht="15" customHeight="1" x14ac:dyDescent="0.3">
      <c r="A86" s="65" t="s">
        <v>259</v>
      </c>
      <c r="B86" s="391" t="s">
        <v>486</v>
      </c>
      <c r="C86" s="60" t="s">
        <v>15</v>
      </c>
      <c r="D86" s="392">
        <v>48</v>
      </c>
      <c r="E86" s="393"/>
      <c r="F86" s="591"/>
    </row>
    <row r="87" spans="1:6" s="504" customFormat="1" ht="15" customHeight="1" x14ac:dyDescent="0.3">
      <c r="A87" s="64" t="s">
        <v>266</v>
      </c>
      <c r="B87" s="127" t="s">
        <v>254</v>
      </c>
      <c r="C87" s="60"/>
      <c r="D87" s="394"/>
      <c r="E87" s="393"/>
      <c r="F87" s="591"/>
    </row>
    <row r="88" spans="1:6" s="504" customFormat="1" ht="24.9" customHeight="1" x14ac:dyDescent="0.3">
      <c r="A88" s="66" t="s">
        <v>608</v>
      </c>
      <c r="B88" s="381" t="s">
        <v>594</v>
      </c>
      <c r="C88" s="60" t="s">
        <v>54</v>
      </c>
      <c r="D88" s="392">
        <v>1</v>
      </c>
      <c r="E88" s="393"/>
      <c r="F88" s="591"/>
    </row>
    <row r="89" spans="1:6" s="479" customFormat="1" ht="15" customHeight="1" x14ac:dyDescent="0.3">
      <c r="A89" s="64" t="s">
        <v>267</v>
      </c>
      <c r="B89" s="127" t="s">
        <v>255</v>
      </c>
      <c r="C89" s="60"/>
      <c r="D89" s="131"/>
      <c r="E89" s="393"/>
      <c r="F89" s="591"/>
    </row>
    <row r="90" spans="1:6" s="479" customFormat="1" ht="24.9" customHeight="1" x14ac:dyDescent="0.3">
      <c r="A90" s="66" t="s">
        <v>281</v>
      </c>
      <c r="B90" s="69" t="s">
        <v>670</v>
      </c>
      <c r="C90" s="62" t="s">
        <v>18</v>
      </c>
      <c r="D90" s="70">
        <v>1</v>
      </c>
      <c r="E90" s="383"/>
      <c r="F90" s="591"/>
    </row>
    <row r="91" spans="1:6" s="479" customFormat="1" ht="15" customHeight="1" x14ac:dyDescent="0.3">
      <c r="A91" s="64" t="s">
        <v>27</v>
      </c>
      <c r="B91" s="111" t="s">
        <v>263</v>
      </c>
      <c r="C91" s="60"/>
      <c r="D91" s="131"/>
      <c r="E91" s="393"/>
      <c r="F91" s="591"/>
    </row>
    <row r="92" spans="1:6" s="479" customFormat="1" ht="15" customHeight="1" x14ac:dyDescent="0.3">
      <c r="A92" s="64" t="s">
        <v>71</v>
      </c>
      <c r="B92" s="127" t="s">
        <v>257</v>
      </c>
      <c r="C92" s="60"/>
      <c r="D92" s="131"/>
      <c r="E92" s="393"/>
      <c r="F92" s="591"/>
    </row>
    <row r="93" spans="1:6" s="479" customFormat="1" ht="15" customHeight="1" x14ac:dyDescent="0.3">
      <c r="A93" s="65" t="s">
        <v>260</v>
      </c>
      <c r="B93" s="113" t="s">
        <v>423</v>
      </c>
      <c r="C93" s="60" t="s">
        <v>15</v>
      </c>
      <c r="D93" s="131">
        <f>6*1.2*1.2</f>
        <v>8.6399999999999988</v>
      </c>
      <c r="E93" s="393"/>
      <c r="F93" s="591"/>
    </row>
    <row r="94" spans="1:6" s="479" customFormat="1" ht="15" customHeight="1" x14ac:dyDescent="0.3">
      <c r="A94" s="65" t="s">
        <v>261</v>
      </c>
      <c r="B94" s="113" t="s">
        <v>428</v>
      </c>
      <c r="C94" s="60" t="s">
        <v>15</v>
      </c>
      <c r="D94" s="131">
        <f>+((2.62+3.53)*2+6*0.3)*1.2</f>
        <v>16.920000000000002</v>
      </c>
      <c r="E94" s="393"/>
      <c r="F94" s="591"/>
    </row>
    <row r="95" spans="1:6" s="479" customFormat="1" ht="15" customHeight="1" x14ac:dyDescent="0.3">
      <c r="A95" s="65" t="s">
        <v>262</v>
      </c>
      <c r="B95" s="113" t="s">
        <v>256</v>
      </c>
      <c r="C95" s="60" t="s">
        <v>15</v>
      </c>
      <c r="D95" s="131">
        <f>+(2.21+2.58+2.54+4.58+2.35+2.55)*1.1</f>
        <v>18.491</v>
      </c>
      <c r="E95" s="393"/>
      <c r="F95" s="591"/>
    </row>
    <row r="96" spans="1:6" s="479" customFormat="1" ht="15" customHeight="1" x14ac:dyDescent="0.3">
      <c r="A96" s="78" t="s">
        <v>28</v>
      </c>
      <c r="B96" s="214" t="s">
        <v>268</v>
      </c>
      <c r="C96" s="185"/>
      <c r="D96" s="165"/>
      <c r="E96" s="165"/>
      <c r="F96" s="591"/>
    </row>
    <row r="97" spans="1:6" s="479" customFormat="1" ht="15" customHeight="1" x14ac:dyDescent="0.3">
      <c r="A97" s="147" t="s">
        <v>87</v>
      </c>
      <c r="B97" s="215" t="s">
        <v>270</v>
      </c>
      <c r="C97" s="216"/>
      <c r="D97" s="166"/>
      <c r="E97" s="166"/>
      <c r="F97" s="591"/>
    </row>
    <row r="98" spans="1:6" s="479" customFormat="1" ht="15" customHeight="1" x14ac:dyDescent="0.3">
      <c r="A98" s="148" t="s">
        <v>282</v>
      </c>
      <c r="B98" s="216" t="s">
        <v>598</v>
      </c>
      <c r="C98" s="163" t="s">
        <v>18</v>
      </c>
      <c r="D98" s="169">
        <v>6</v>
      </c>
      <c r="E98" s="726"/>
      <c r="F98" s="591"/>
    </row>
    <row r="99" spans="1:6" s="479" customFormat="1" ht="15" customHeight="1" x14ac:dyDescent="0.3">
      <c r="A99" s="135" t="s">
        <v>89</v>
      </c>
      <c r="B99" s="217" t="s">
        <v>271</v>
      </c>
      <c r="C99" s="185"/>
      <c r="D99" s="165"/>
      <c r="E99" s="165"/>
      <c r="F99" s="591"/>
    </row>
    <row r="100" spans="1:6" s="479" customFormat="1" ht="15" customHeight="1" x14ac:dyDescent="0.3">
      <c r="A100" s="136" t="s">
        <v>284</v>
      </c>
      <c r="B100" s="113" t="s">
        <v>595</v>
      </c>
      <c r="C100" s="60" t="s">
        <v>18</v>
      </c>
      <c r="D100" s="131">
        <f>1+1+1+1</f>
        <v>4</v>
      </c>
      <c r="E100" s="393"/>
      <c r="F100" s="591"/>
    </row>
    <row r="101" spans="1:6" s="479" customFormat="1" ht="15" customHeight="1" x14ac:dyDescent="0.3">
      <c r="A101" s="136" t="s">
        <v>285</v>
      </c>
      <c r="B101" s="113" t="s">
        <v>273</v>
      </c>
      <c r="C101" s="60" t="s">
        <v>18</v>
      </c>
      <c r="D101" s="131">
        <f>1+1</f>
        <v>2</v>
      </c>
      <c r="E101" s="393"/>
      <c r="F101" s="591"/>
    </row>
    <row r="102" spans="1:6" s="479" customFormat="1" ht="15" customHeight="1" x14ac:dyDescent="0.3">
      <c r="A102" s="136" t="s">
        <v>286</v>
      </c>
      <c r="B102" s="113" t="s">
        <v>424</v>
      </c>
      <c r="C102" s="60" t="s">
        <v>18</v>
      </c>
      <c r="D102" s="131">
        <f>1+1</f>
        <v>2</v>
      </c>
      <c r="E102" s="393"/>
      <c r="F102" s="591"/>
    </row>
    <row r="103" spans="1:6" s="479" customFormat="1" ht="15" customHeight="1" x14ac:dyDescent="0.3">
      <c r="A103" s="135" t="s">
        <v>90</v>
      </c>
      <c r="B103" s="127" t="s">
        <v>275</v>
      </c>
      <c r="C103" s="60"/>
      <c r="D103" s="131"/>
      <c r="E103" s="393"/>
      <c r="F103" s="591"/>
    </row>
    <row r="104" spans="1:6" s="479" customFormat="1" ht="15" customHeight="1" x14ac:dyDescent="0.3">
      <c r="A104" s="136" t="s">
        <v>287</v>
      </c>
      <c r="B104" s="113" t="s">
        <v>597</v>
      </c>
      <c r="C104" s="60" t="s">
        <v>18</v>
      </c>
      <c r="D104" s="131">
        <v>4</v>
      </c>
      <c r="E104" s="393"/>
      <c r="F104" s="591"/>
    </row>
    <row r="105" spans="1:6" s="479" customFormat="1" ht="15" customHeight="1" x14ac:dyDescent="0.3">
      <c r="A105" s="136" t="s">
        <v>288</v>
      </c>
      <c r="B105" s="113" t="s">
        <v>596</v>
      </c>
      <c r="C105" s="60" t="s">
        <v>18</v>
      </c>
      <c r="D105" s="131">
        <v>3</v>
      </c>
      <c r="E105" s="393"/>
      <c r="F105" s="591"/>
    </row>
    <row r="106" spans="1:6" s="479" customFormat="1" ht="15" customHeight="1" x14ac:dyDescent="0.3">
      <c r="A106" s="135" t="s">
        <v>29</v>
      </c>
      <c r="B106" s="111" t="s">
        <v>232</v>
      </c>
      <c r="C106" s="60"/>
      <c r="D106" s="131"/>
      <c r="E106" s="393"/>
      <c r="F106" s="591"/>
    </row>
    <row r="107" spans="1:6" s="479" customFormat="1" ht="15" customHeight="1" x14ac:dyDescent="0.3">
      <c r="A107" s="65" t="s">
        <v>91</v>
      </c>
      <c r="B107" s="113" t="s">
        <v>265</v>
      </c>
      <c r="C107" s="60" t="s">
        <v>54</v>
      </c>
      <c r="D107" s="131">
        <v>1</v>
      </c>
      <c r="E107" s="393"/>
      <c r="F107" s="591"/>
    </row>
    <row r="108" spans="1:6" s="504" customFormat="1" ht="15" customHeight="1" thickBot="1" x14ac:dyDescent="0.35">
      <c r="A108" s="77"/>
      <c r="B108" s="520"/>
      <c r="C108" s="522"/>
      <c r="D108" s="522"/>
      <c r="E108" s="522"/>
      <c r="F108" s="523"/>
    </row>
    <row r="109" spans="1:6" s="504" customFormat="1" ht="15" customHeight="1" thickBot="1" x14ac:dyDescent="0.35">
      <c r="A109" s="830" t="s">
        <v>30</v>
      </c>
      <c r="B109" s="831"/>
      <c r="C109" s="831"/>
      <c r="D109" s="831"/>
      <c r="E109" s="832"/>
      <c r="F109" s="604"/>
    </row>
    <row r="110" spans="1:6" s="504" customFormat="1" ht="15" customHeight="1" x14ac:dyDescent="0.3">
      <c r="A110" s="396"/>
      <c r="B110" s="397"/>
      <c r="C110" s="380"/>
      <c r="D110" s="379"/>
      <c r="E110" s="398"/>
      <c r="F110" s="518"/>
    </row>
    <row r="111" spans="1:6" s="479" customFormat="1" ht="15" customHeight="1" x14ac:dyDescent="0.3">
      <c r="A111" s="58" t="s">
        <v>292</v>
      </c>
      <c r="B111" s="99" t="s">
        <v>293</v>
      </c>
      <c r="C111" s="4"/>
      <c r="D111" s="24"/>
      <c r="E111" s="174"/>
      <c r="F111" s="98"/>
    </row>
    <row r="112" spans="1:6" s="479" customFormat="1" ht="15" customHeight="1" x14ac:dyDescent="0.3">
      <c r="A112" s="65"/>
      <c r="B112" s="113"/>
      <c r="C112" s="60"/>
      <c r="D112" s="218"/>
      <c r="E112" s="80"/>
      <c r="F112" s="119"/>
    </row>
    <row r="113" spans="1:6" s="479" customFormat="1" ht="15" customHeight="1" x14ac:dyDescent="0.3">
      <c r="A113" s="64" t="s">
        <v>294</v>
      </c>
      <c r="B113" s="111" t="s">
        <v>295</v>
      </c>
      <c r="C113" s="60"/>
      <c r="D113" s="131"/>
      <c r="E113" s="80"/>
      <c r="F113" s="119"/>
    </row>
    <row r="114" spans="1:6" s="479" customFormat="1" ht="15" customHeight="1" x14ac:dyDescent="0.3">
      <c r="A114" s="64" t="s">
        <v>296</v>
      </c>
      <c r="B114" s="127" t="s">
        <v>297</v>
      </c>
      <c r="C114" s="60"/>
      <c r="D114" s="218"/>
      <c r="E114" s="80"/>
      <c r="F114" s="119"/>
    </row>
    <row r="115" spans="1:6" s="479" customFormat="1" ht="15" customHeight="1" x14ac:dyDescent="0.3">
      <c r="A115" s="65" t="s">
        <v>298</v>
      </c>
      <c r="B115" s="113" t="s">
        <v>301</v>
      </c>
      <c r="C115" s="60" t="s">
        <v>18</v>
      </c>
      <c r="D115" s="131">
        <v>1</v>
      </c>
      <c r="E115" s="393"/>
      <c r="F115" s="590"/>
    </row>
    <row r="116" spans="1:6" s="479" customFormat="1" ht="15" customHeight="1" x14ac:dyDescent="0.3">
      <c r="A116" s="65" t="s">
        <v>299</v>
      </c>
      <c r="B116" s="113" t="s">
        <v>302</v>
      </c>
      <c r="C116" s="60" t="s">
        <v>18</v>
      </c>
      <c r="D116" s="131">
        <v>1</v>
      </c>
      <c r="E116" s="393"/>
      <c r="F116" s="590"/>
    </row>
    <row r="117" spans="1:6" s="479" customFormat="1" ht="15" customHeight="1" x14ac:dyDescent="0.3">
      <c r="A117" s="64" t="s">
        <v>305</v>
      </c>
      <c r="B117" s="127" t="s">
        <v>300</v>
      </c>
      <c r="C117" s="60"/>
      <c r="D117" s="131"/>
      <c r="E117" s="393"/>
      <c r="F117" s="590"/>
    </row>
    <row r="118" spans="1:6" s="479" customFormat="1" ht="15" customHeight="1" x14ac:dyDescent="0.3">
      <c r="A118" s="65" t="s">
        <v>306</v>
      </c>
      <c r="B118" s="113" t="s">
        <v>303</v>
      </c>
      <c r="C118" s="60" t="s">
        <v>18</v>
      </c>
      <c r="D118" s="131">
        <v>2</v>
      </c>
      <c r="E118" s="393"/>
      <c r="F118" s="590"/>
    </row>
    <row r="119" spans="1:6" s="479" customFormat="1" ht="15" customHeight="1" x14ac:dyDescent="0.3">
      <c r="A119" s="65" t="s">
        <v>307</v>
      </c>
      <c r="B119" s="113" t="s">
        <v>304</v>
      </c>
      <c r="C119" s="60" t="s">
        <v>18</v>
      </c>
      <c r="D119" s="131">
        <v>1</v>
      </c>
      <c r="E119" s="393"/>
      <c r="F119" s="590"/>
    </row>
    <row r="120" spans="1:6" s="479" customFormat="1" ht="15" customHeight="1" thickBot="1" x14ac:dyDescent="0.35">
      <c r="A120" s="65"/>
      <c r="B120" s="113"/>
      <c r="C120" s="60"/>
      <c r="D120" s="218"/>
      <c r="E120" s="80"/>
      <c r="F120" s="119"/>
    </row>
    <row r="121" spans="1:6" s="479" customFormat="1" ht="15" customHeight="1" thickBot="1" x14ac:dyDescent="0.35">
      <c r="A121" s="767" t="s">
        <v>308</v>
      </c>
      <c r="B121" s="768"/>
      <c r="C121" s="768"/>
      <c r="D121" s="768"/>
      <c r="E121" s="768"/>
      <c r="F121" s="586"/>
    </row>
    <row r="122" spans="1:6" s="479" customFormat="1" ht="15" customHeight="1" x14ac:dyDescent="0.3">
      <c r="A122" s="528"/>
      <c r="B122" s="141"/>
      <c r="C122" s="529"/>
      <c r="D122" s="141"/>
      <c r="E122" s="141"/>
      <c r="F122" s="530"/>
    </row>
    <row r="123" spans="1:6" s="479" customFormat="1" ht="15" customHeight="1" x14ac:dyDescent="0.3">
      <c r="A123" s="58" t="s">
        <v>309</v>
      </c>
      <c r="B123" s="99" t="s">
        <v>310</v>
      </c>
      <c r="C123" s="4"/>
      <c r="D123" s="24"/>
      <c r="E123" s="223"/>
      <c r="F123" s="617"/>
    </row>
    <row r="124" spans="1:6" s="479" customFormat="1" ht="15" customHeight="1" x14ac:dyDescent="0.3">
      <c r="A124" s="65"/>
      <c r="B124" s="113"/>
      <c r="C124" s="60"/>
      <c r="D124" s="218"/>
      <c r="E124" s="80"/>
      <c r="F124" s="119"/>
    </row>
    <row r="125" spans="1:6" s="479" customFormat="1" ht="15" customHeight="1" x14ac:dyDescent="0.3">
      <c r="A125" s="64" t="s">
        <v>48</v>
      </c>
      <c r="B125" s="111" t="s">
        <v>88</v>
      </c>
      <c r="C125" s="60"/>
      <c r="D125" s="131"/>
      <c r="E125" s="80"/>
      <c r="F125" s="119"/>
    </row>
    <row r="126" spans="1:6" s="479" customFormat="1" ht="15" customHeight="1" x14ac:dyDescent="0.3">
      <c r="A126" s="64" t="s">
        <v>49</v>
      </c>
      <c r="B126" s="127" t="s">
        <v>311</v>
      </c>
      <c r="C126" s="60"/>
      <c r="D126" s="218"/>
      <c r="E126" s="80"/>
      <c r="F126" s="119"/>
    </row>
    <row r="127" spans="1:6" s="479" customFormat="1" ht="15" customHeight="1" x14ac:dyDescent="0.3">
      <c r="A127" s="65" t="s">
        <v>313</v>
      </c>
      <c r="B127" s="113" t="s">
        <v>312</v>
      </c>
      <c r="C127" s="60" t="s">
        <v>414</v>
      </c>
      <c r="D127" s="131">
        <v>1</v>
      </c>
      <c r="E127" s="393"/>
      <c r="F127" s="590"/>
    </row>
    <row r="128" spans="1:6" s="479" customFormat="1" ht="15" customHeight="1" x14ac:dyDescent="0.3">
      <c r="A128" s="64" t="s">
        <v>316</v>
      </c>
      <c r="B128" s="111" t="s">
        <v>314</v>
      </c>
      <c r="C128" s="60"/>
      <c r="D128" s="131"/>
      <c r="E128" s="393"/>
      <c r="F128" s="590"/>
    </row>
    <row r="129" spans="1:6" s="479" customFormat="1" ht="15" customHeight="1" x14ac:dyDescent="0.3">
      <c r="A129" s="65" t="s">
        <v>319</v>
      </c>
      <c r="B129" s="113" t="s">
        <v>315</v>
      </c>
      <c r="C129" s="60" t="s">
        <v>15</v>
      </c>
      <c r="D129" s="131">
        <v>10</v>
      </c>
      <c r="E129" s="393"/>
      <c r="F129" s="590"/>
    </row>
    <row r="130" spans="1:6" s="479" customFormat="1" ht="15" customHeight="1" x14ac:dyDescent="0.3">
      <c r="A130" s="65" t="s">
        <v>320</v>
      </c>
      <c r="B130" s="113" t="s">
        <v>318</v>
      </c>
      <c r="C130" s="60" t="s">
        <v>15</v>
      </c>
      <c r="D130" s="131">
        <v>10</v>
      </c>
      <c r="E130" s="393"/>
      <c r="F130" s="590"/>
    </row>
    <row r="131" spans="1:6" s="479" customFormat="1" ht="15" customHeight="1" x14ac:dyDescent="0.3">
      <c r="A131" s="65" t="s">
        <v>321</v>
      </c>
      <c r="B131" s="113" t="s">
        <v>317</v>
      </c>
      <c r="C131" s="60" t="s">
        <v>18</v>
      </c>
      <c r="D131" s="131">
        <v>1</v>
      </c>
      <c r="E131" s="393"/>
      <c r="F131" s="590"/>
    </row>
    <row r="132" spans="1:6" s="479" customFormat="1" ht="15" customHeight="1" x14ac:dyDescent="0.3">
      <c r="A132" s="64" t="s">
        <v>323</v>
      </c>
      <c r="B132" s="111" t="s">
        <v>322</v>
      </c>
      <c r="C132" s="60"/>
      <c r="D132" s="131"/>
      <c r="E132" s="393"/>
      <c r="F132" s="590"/>
    </row>
    <row r="133" spans="1:6" s="479" customFormat="1" ht="15" customHeight="1" x14ac:dyDescent="0.3">
      <c r="A133" s="65" t="s">
        <v>325</v>
      </c>
      <c r="B133" s="113" t="s">
        <v>324</v>
      </c>
      <c r="C133" s="60" t="s">
        <v>18</v>
      </c>
      <c r="D133" s="131">
        <v>2</v>
      </c>
      <c r="E133" s="393"/>
      <c r="F133" s="590"/>
    </row>
    <row r="134" spans="1:6" s="479" customFormat="1" ht="15" customHeight="1" thickBot="1" x14ac:dyDescent="0.35">
      <c r="A134" s="65"/>
      <c r="B134" s="113"/>
      <c r="C134" s="60"/>
      <c r="D134" s="218"/>
      <c r="E134" s="80"/>
      <c r="F134" s="119"/>
    </row>
    <row r="135" spans="1:6" s="479" customFormat="1" ht="15" customHeight="1" thickBot="1" x14ac:dyDescent="0.35">
      <c r="A135" s="767" t="s">
        <v>326</v>
      </c>
      <c r="B135" s="768"/>
      <c r="C135" s="768"/>
      <c r="D135" s="768"/>
      <c r="E135" s="768"/>
      <c r="F135" s="586"/>
    </row>
    <row r="136" spans="1:6" s="479" customFormat="1" ht="15" customHeight="1" x14ac:dyDescent="0.3">
      <c r="A136" s="528"/>
      <c r="B136" s="141"/>
      <c r="C136" s="529"/>
      <c r="D136" s="141"/>
      <c r="E136" s="141"/>
      <c r="F136" s="530"/>
    </row>
    <row r="137" spans="1:6" s="479" customFormat="1" ht="15" customHeight="1" x14ac:dyDescent="0.3">
      <c r="A137" s="58" t="s">
        <v>327</v>
      </c>
      <c r="B137" s="99" t="s">
        <v>328</v>
      </c>
      <c r="C137" s="4"/>
      <c r="D137" s="24"/>
      <c r="E137" s="223"/>
      <c r="F137" s="617"/>
    </row>
    <row r="138" spans="1:6" s="479" customFormat="1" ht="15" customHeight="1" x14ac:dyDescent="0.3">
      <c r="A138" s="65"/>
      <c r="B138" s="113"/>
      <c r="C138" s="60"/>
      <c r="D138" s="218"/>
      <c r="E138" s="80"/>
      <c r="F138" s="119"/>
    </row>
    <row r="139" spans="1:6" s="479" customFormat="1" ht="15" customHeight="1" x14ac:dyDescent="0.3">
      <c r="A139" s="64" t="s">
        <v>93</v>
      </c>
      <c r="B139" s="111" t="s">
        <v>329</v>
      </c>
      <c r="C139" s="60"/>
      <c r="D139" s="218"/>
      <c r="E139" s="80"/>
      <c r="F139" s="119"/>
    </row>
    <row r="140" spans="1:6" s="479" customFormat="1" ht="15" customHeight="1" x14ac:dyDescent="0.3">
      <c r="A140" s="64" t="s">
        <v>94</v>
      </c>
      <c r="B140" s="127" t="s">
        <v>330</v>
      </c>
      <c r="C140" s="60"/>
      <c r="D140" s="218"/>
      <c r="E140" s="80"/>
      <c r="F140" s="119"/>
    </row>
    <row r="141" spans="1:6" s="18" customFormat="1" ht="24.9" customHeight="1" x14ac:dyDescent="0.3">
      <c r="A141" s="66" t="s">
        <v>332</v>
      </c>
      <c r="B141" s="69" t="s">
        <v>709</v>
      </c>
      <c r="C141" s="62" t="s">
        <v>18</v>
      </c>
      <c r="D141" s="70">
        <v>2</v>
      </c>
      <c r="E141" s="383"/>
      <c r="F141" s="591"/>
    </row>
    <row r="142" spans="1:6" s="479" customFormat="1" ht="15" customHeight="1" thickBot="1" x14ac:dyDescent="0.35">
      <c r="A142" s="65"/>
      <c r="B142" s="113"/>
      <c r="C142" s="60"/>
      <c r="D142" s="218"/>
      <c r="E142" s="80"/>
      <c r="F142" s="119"/>
    </row>
    <row r="143" spans="1:6" s="479" customFormat="1" ht="15" customHeight="1" thickBot="1" x14ac:dyDescent="0.35">
      <c r="A143" s="767" t="s">
        <v>333</v>
      </c>
      <c r="B143" s="768"/>
      <c r="C143" s="768"/>
      <c r="D143" s="768"/>
      <c r="E143" s="768"/>
      <c r="F143" s="586"/>
    </row>
    <row r="144" spans="1:6" s="504" customFormat="1" ht="15" customHeight="1" x14ac:dyDescent="0.3">
      <c r="A144" s="489"/>
      <c r="B144" s="397"/>
      <c r="C144" s="60"/>
      <c r="D144" s="394"/>
      <c r="E144" s="80"/>
      <c r="F144" s="476"/>
    </row>
    <row r="145" spans="1:6" s="479" customFormat="1" ht="15" customHeight="1" x14ac:dyDescent="0.3">
      <c r="A145" s="58" t="s">
        <v>334</v>
      </c>
      <c r="B145" s="99" t="s">
        <v>599</v>
      </c>
      <c r="C145" s="4"/>
      <c r="D145" s="24"/>
      <c r="E145" s="174"/>
      <c r="F145" s="98"/>
    </row>
    <row r="146" spans="1:6" s="504" customFormat="1" ht="15" customHeight="1" x14ac:dyDescent="0.3">
      <c r="A146" s="64"/>
      <c r="B146" s="395"/>
      <c r="C146" s="60"/>
      <c r="D146" s="218"/>
      <c r="E146" s="80"/>
      <c r="F146" s="126"/>
    </row>
    <row r="147" spans="1:6" s="504" customFormat="1" ht="15" customHeight="1" x14ac:dyDescent="0.3">
      <c r="A147" s="64" t="s">
        <v>69</v>
      </c>
      <c r="B147" s="372" t="s">
        <v>600</v>
      </c>
      <c r="C147" s="216"/>
      <c r="D147" s="216"/>
      <c r="E147" s="216"/>
      <c r="F147" s="728"/>
    </row>
    <row r="148" spans="1:6" s="504" customFormat="1" ht="15" customHeight="1" x14ac:dyDescent="0.3">
      <c r="A148" s="64" t="s">
        <v>70</v>
      </c>
      <c r="B148" s="127" t="s">
        <v>337</v>
      </c>
      <c r="C148" s="216"/>
      <c r="D148" s="532"/>
      <c r="E148" s="216"/>
      <c r="F148" s="521"/>
    </row>
    <row r="149" spans="1:6" s="531" customFormat="1" ht="15" customHeight="1" x14ac:dyDescent="0.3">
      <c r="A149" s="66" t="s">
        <v>342</v>
      </c>
      <c r="B149" s="386" t="s">
        <v>676</v>
      </c>
      <c r="C149" s="62" t="s">
        <v>8</v>
      </c>
      <c r="D149" s="387">
        <f>+(13.82+14.19)*1.2</f>
        <v>33.611999999999995</v>
      </c>
      <c r="E149" s="383"/>
      <c r="F149" s="385"/>
    </row>
    <row r="150" spans="1:6" s="479" customFormat="1" ht="15" customHeight="1" x14ac:dyDescent="0.3">
      <c r="A150" s="66" t="s">
        <v>343</v>
      </c>
      <c r="B150" s="113" t="s">
        <v>339</v>
      </c>
      <c r="C150" s="60" t="s">
        <v>15</v>
      </c>
      <c r="D150" s="131">
        <f>(14.89-2*0.9*2.15)+(12.58-2*0.9*2.15)</f>
        <v>19.73</v>
      </c>
      <c r="E150" s="393"/>
      <c r="F150" s="385"/>
    </row>
    <row r="151" spans="1:6" s="504" customFormat="1" ht="15" customHeight="1" thickBot="1" x14ac:dyDescent="0.35">
      <c r="A151" s="402"/>
      <c r="B151" s="403"/>
      <c r="C151" s="404"/>
      <c r="D151" s="405"/>
      <c r="E151" s="406"/>
      <c r="F151" s="475"/>
    </row>
    <row r="152" spans="1:6" s="619" customFormat="1" ht="15" customHeight="1" thickBot="1" x14ac:dyDescent="0.35">
      <c r="A152" s="767" t="s">
        <v>31</v>
      </c>
      <c r="B152" s="768"/>
      <c r="C152" s="768"/>
      <c r="D152" s="768"/>
      <c r="E152" s="768"/>
      <c r="F152" s="586"/>
    </row>
    <row r="153" spans="1:6" s="504" customFormat="1" ht="15" customHeight="1" x14ac:dyDescent="0.3">
      <c r="A153" s="489"/>
      <c r="B153" s="397"/>
      <c r="C153" s="60"/>
      <c r="D153" s="394"/>
      <c r="E153" s="80"/>
      <c r="F153" s="476"/>
    </row>
    <row r="154" spans="1:6" s="479" customFormat="1" ht="15" customHeight="1" x14ac:dyDescent="0.3">
      <c r="A154" s="58" t="s">
        <v>349</v>
      </c>
      <c r="B154" s="99" t="s">
        <v>350</v>
      </c>
      <c r="C154" s="4"/>
      <c r="D154" s="24"/>
      <c r="E154" s="174"/>
      <c r="F154" s="98"/>
    </row>
    <row r="155" spans="1:6" s="479" customFormat="1" ht="15" customHeight="1" x14ac:dyDescent="0.3">
      <c r="A155" s="65"/>
      <c r="B155" s="113"/>
      <c r="C155" s="60"/>
      <c r="D155" s="218"/>
      <c r="E155" s="80"/>
      <c r="F155" s="119"/>
    </row>
    <row r="156" spans="1:6" s="479" customFormat="1" ht="15" customHeight="1" x14ac:dyDescent="0.3">
      <c r="A156" s="64" t="s">
        <v>32</v>
      </c>
      <c r="B156" s="111" t="s">
        <v>354</v>
      </c>
      <c r="C156" s="60"/>
      <c r="D156" s="218"/>
      <c r="E156" s="80"/>
      <c r="F156" s="119"/>
    </row>
    <row r="157" spans="1:6" s="479" customFormat="1" ht="15" customHeight="1" x14ac:dyDescent="0.3">
      <c r="A157" s="64" t="s">
        <v>41</v>
      </c>
      <c r="B157" s="127" t="s">
        <v>355</v>
      </c>
      <c r="C157" s="60"/>
      <c r="D157" s="131"/>
      <c r="E157" s="80"/>
      <c r="F157" s="119"/>
    </row>
    <row r="158" spans="1:6" s="479" customFormat="1" ht="24.9" customHeight="1" x14ac:dyDescent="0.3">
      <c r="A158" s="66" t="s">
        <v>356</v>
      </c>
      <c r="B158" s="69" t="s">
        <v>601</v>
      </c>
      <c r="C158" s="62" t="s">
        <v>18</v>
      </c>
      <c r="D158" s="70">
        <v>3</v>
      </c>
      <c r="E158" s="211"/>
      <c r="F158" s="591"/>
    </row>
    <row r="159" spans="1:6" s="479" customFormat="1" ht="15" customHeight="1" x14ac:dyDescent="0.3">
      <c r="A159" s="64" t="s">
        <v>33</v>
      </c>
      <c r="B159" s="127" t="s">
        <v>358</v>
      </c>
      <c r="C159" s="60" t="s">
        <v>6</v>
      </c>
      <c r="D159" s="219"/>
      <c r="E159" s="80"/>
      <c r="F159" s="591"/>
    </row>
    <row r="160" spans="1:6" s="479" customFormat="1" ht="24.9" customHeight="1" x14ac:dyDescent="0.3">
      <c r="A160" s="66" t="s">
        <v>359</v>
      </c>
      <c r="B160" s="69" t="s">
        <v>353</v>
      </c>
      <c r="C160" s="62" t="s">
        <v>18</v>
      </c>
      <c r="D160" s="70">
        <v>2</v>
      </c>
      <c r="E160" s="211"/>
      <c r="F160" s="591"/>
    </row>
    <row r="161" spans="1:6" s="479" customFormat="1" ht="15" customHeight="1" thickBot="1" x14ac:dyDescent="0.35">
      <c r="A161" s="23"/>
      <c r="B161" s="137"/>
      <c r="C161" s="30"/>
      <c r="D161" s="138"/>
      <c r="E161" s="27"/>
      <c r="F161" s="605"/>
    </row>
    <row r="162" spans="1:6" s="479" customFormat="1" ht="15" customHeight="1" thickBot="1" x14ac:dyDescent="0.35">
      <c r="A162" s="767" t="s">
        <v>366</v>
      </c>
      <c r="B162" s="768"/>
      <c r="C162" s="768"/>
      <c r="D162" s="768"/>
      <c r="E162" s="768"/>
      <c r="F162" s="586"/>
    </row>
    <row r="163" spans="1:6" s="504" customFormat="1" ht="15" customHeight="1" x14ac:dyDescent="0.3">
      <c r="A163" s="489"/>
      <c r="B163" s="527"/>
      <c r="C163" s="60"/>
      <c r="D163" s="394"/>
      <c r="E163" s="80"/>
      <c r="F163" s="476"/>
    </row>
    <row r="164" spans="1:6" s="479" customFormat="1" ht="15" customHeight="1" x14ac:dyDescent="0.3">
      <c r="A164" s="58" t="s">
        <v>367</v>
      </c>
      <c r="B164" s="99" t="s">
        <v>368</v>
      </c>
      <c r="C164" s="4"/>
      <c r="D164" s="24"/>
      <c r="E164" s="174"/>
      <c r="F164" s="98"/>
    </row>
    <row r="165" spans="1:6" s="479" customFormat="1" ht="15" customHeight="1" x14ac:dyDescent="0.3">
      <c r="A165" s="20"/>
      <c r="B165" s="15"/>
      <c r="C165" s="4"/>
      <c r="D165" s="220"/>
      <c r="E165" s="9"/>
      <c r="F165" s="7"/>
    </row>
    <row r="166" spans="1:6" s="479" customFormat="1" ht="15" customHeight="1" x14ac:dyDescent="0.3">
      <c r="A166" s="64" t="s">
        <v>64</v>
      </c>
      <c r="B166" s="127" t="s">
        <v>369</v>
      </c>
      <c r="C166" s="60"/>
      <c r="D166" s="218"/>
      <c r="E166" s="80"/>
      <c r="F166" s="119"/>
    </row>
    <row r="167" spans="1:6" s="479" customFormat="1" ht="24.9" customHeight="1" x14ac:dyDescent="0.3">
      <c r="A167" s="66" t="s">
        <v>65</v>
      </c>
      <c r="B167" s="69" t="s">
        <v>370</v>
      </c>
      <c r="C167" s="163" t="s">
        <v>131</v>
      </c>
      <c r="D167" s="70">
        <v>33.61</v>
      </c>
      <c r="E167" s="211"/>
      <c r="F167" s="591"/>
    </row>
    <row r="168" spans="1:6" s="479" customFormat="1" ht="15" customHeight="1" x14ac:dyDescent="0.3">
      <c r="A168" s="64" t="s">
        <v>66</v>
      </c>
      <c r="B168" s="127" t="s">
        <v>386</v>
      </c>
      <c r="C168" s="60"/>
      <c r="D168" s="131"/>
      <c r="E168" s="80"/>
      <c r="F168" s="591"/>
    </row>
    <row r="169" spans="1:6" s="479" customFormat="1" ht="24.9" customHeight="1" x14ac:dyDescent="0.3">
      <c r="A169" s="66" t="s">
        <v>67</v>
      </c>
      <c r="B169" s="69" t="s">
        <v>672</v>
      </c>
      <c r="C169" s="163" t="s">
        <v>131</v>
      </c>
      <c r="D169" s="70">
        <v>7.93</v>
      </c>
      <c r="E169" s="211"/>
      <c r="F169" s="591"/>
    </row>
    <row r="170" spans="1:6" s="479" customFormat="1" ht="15" customHeight="1" thickBot="1" x14ac:dyDescent="0.35">
      <c r="A170" s="64"/>
      <c r="B170" s="111"/>
      <c r="C170" s="60"/>
      <c r="D170" s="218"/>
      <c r="E170" s="80"/>
      <c r="F170" s="591"/>
    </row>
    <row r="171" spans="1:6" s="479" customFormat="1" ht="15" customHeight="1" thickBot="1" x14ac:dyDescent="0.35">
      <c r="A171" s="767" t="s">
        <v>371</v>
      </c>
      <c r="B171" s="768"/>
      <c r="C171" s="768"/>
      <c r="D171" s="768"/>
      <c r="E171" s="768"/>
      <c r="F171" s="586"/>
    </row>
    <row r="172" spans="1:6" s="504" customFormat="1" ht="15" customHeight="1" x14ac:dyDescent="0.3">
      <c r="A172" s="489"/>
      <c r="B172" s="527"/>
      <c r="C172" s="60"/>
      <c r="D172" s="394"/>
      <c r="E172" s="80"/>
      <c r="F172" s="476"/>
    </row>
    <row r="173" spans="1:6" s="479" customFormat="1" ht="15" customHeight="1" x14ac:dyDescent="0.3">
      <c r="A173" s="58" t="s">
        <v>372</v>
      </c>
      <c r="B173" s="99" t="s">
        <v>373</v>
      </c>
      <c r="C173" s="4"/>
      <c r="D173" s="24"/>
      <c r="E173" s="174"/>
      <c r="F173" s="98"/>
    </row>
    <row r="174" spans="1:6" s="479" customFormat="1" ht="15" customHeight="1" x14ac:dyDescent="0.3">
      <c r="A174" s="64"/>
      <c r="B174" s="111"/>
      <c r="C174" s="60"/>
      <c r="D174" s="218"/>
      <c r="E174" s="80"/>
      <c r="F174" s="119"/>
    </row>
    <row r="175" spans="1:6" s="479" customFormat="1" ht="15" customHeight="1" x14ac:dyDescent="0.3">
      <c r="A175" s="64" t="s">
        <v>35</v>
      </c>
      <c r="B175" s="111" t="s">
        <v>374</v>
      </c>
      <c r="C175" s="60" t="s">
        <v>6</v>
      </c>
      <c r="D175" s="131"/>
      <c r="E175" s="80"/>
      <c r="F175" s="119"/>
    </row>
    <row r="176" spans="1:6" s="479" customFormat="1" ht="15" customHeight="1" x14ac:dyDescent="0.3">
      <c r="A176" s="64" t="s">
        <v>56</v>
      </c>
      <c r="B176" s="127" t="s">
        <v>376</v>
      </c>
      <c r="C176" s="60"/>
      <c r="D176" s="131"/>
      <c r="E176" s="80"/>
      <c r="F176" s="119"/>
    </row>
    <row r="177" spans="1:6" s="479" customFormat="1" ht="15" customHeight="1" x14ac:dyDescent="0.3">
      <c r="A177" s="65" t="s">
        <v>377</v>
      </c>
      <c r="B177" s="113" t="s">
        <v>375</v>
      </c>
      <c r="C177" s="163" t="s">
        <v>131</v>
      </c>
      <c r="D177" s="131">
        <f>+D180+D182</f>
        <v>142.88999999999999</v>
      </c>
      <c r="E177" s="393"/>
      <c r="F177" s="590"/>
    </row>
    <row r="178" spans="1:6" s="479" customFormat="1" ht="15" customHeight="1" x14ac:dyDescent="0.3">
      <c r="A178" s="64" t="s">
        <v>36</v>
      </c>
      <c r="B178" s="111" t="s">
        <v>378</v>
      </c>
      <c r="C178" s="60"/>
      <c r="D178" s="131"/>
      <c r="E178" s="393"/>
      <c r="F178" s="590"/>
    </row>
    <row r="179" spans="1:6" s="479" customFormat="1" ht="15" customHeight="1" x14ac:dyDescent="0.3">
      <c r="A179" s="64" t="s">
        <v>59</v>
      </c>
      <c r="B179" s="127" t="s">
        <v>379</v>
      </c>
      <c r="C179" s="60"/>
      <c r="D179" s="131"/>
      <c r="E179" s="393"/>
      <c r="F179" s="590"/>
    </row>
    <row r="180" spans="1:6" s="479" customFormat="1" ht="15" customHeight="1" x14ac:dyDescent="0.3">
      <c r="A180" s="65" t="s">
        <v>380</v>
      </c>
      <c r="B180" s="113" t="s">
        <v>383</v>
      </c>
      <c r="C180" s="163" t="s">
        <v>131</v>
      </c>
      <c r="D180" s="131">
        <v>88.48</v>
      </c>
      <c r="E180" s="393"/>
      <c r="F180" s="590"/>
    </row>
    <row r="181" spans="1:6" s="479" customFormat="1" ht="15" customHeight="1" x14ac:dyDescent="0.3">
      <c r="A181" s="64" t="s">
        <v>60</v>
      </c>
      <c r="B181" s="127" t="s">
        <v>382</v>
      </c>
      <c r="C181" s="60"/>
      <c r="D181" s="131"/>
      <c r="E181" s="393"/>
      <c r="F181" s="590"/>
    </row>
    <row r="182" spans="1:6" s="479" customFormat="1" ht="15" customHeight="1" x14ac:dyDescent="0.3">
      <c r="A182" s="65" t="s">
        <v>569</v>
      </c>
      <c r="B182" s="113" t="s">
        <v>384</v>
      </c>
      <c r="C182" s="163" t="s">
        <v>131</v>
      </c>
      <c r="D182" s="131">
        <v>54.41</v>
      </c>
      <c r="E182" s="393"/>
      <c r="F182" s="590"/>
    </row>
    <row r="183" spans="1:6" s="479" customFormat="1" ht="15" customHeight="1" x14ac:dyDescent="0.3">
      <c r="A183" s="64" t="s">
        <v>43</v>
      </c>
      <c r="B183" s="111" t="s">
        <v>385</v>
      </c>
      <c r="C183" s="60"/>
      <c r="D183" s="131"/>
      <c r="E183" s="393"/>
      <c r="F183" s="590"/>
    </row>
    <row r="184" spans="1:6" s="479" customFormat="1" ht="15" customHeight="1" x14ac:dyDescent="0.3">
      <c r="A184" s="64" t="s">
        <v>61</v>
      </c>
      <c r="B184" s="127" t="s">
        <v>431</v>
      </c>
      <c r="C184" s="60"/>
      <c r="D184" s="131"/>
      <c r="E184" s="393"/>
      <c r="F184" s="590"/>
    </row>
    <row r="185" spans="1:6" s="479" customFormat="1" ht="15" customHeight="1" x14ac:dyDescent="0.3">
      <c r="A185" s="66" t="s">
        <v>390</v>
      </c>
      <c r="B185" s="69" t="s">
        <v>393</v>
      </c>
      <c r="C185" s="163" t="s">
        <v>131</v>
      </c>
      <c r="D185" s="70">
        <v>13.53</v>
      </c>
      <c r="E185" s="383"/>
      <c r="F185" s="590"/>
    </row>
    <row r="186" spans="1:6" s="479" customFormat="1" ht="15" customHeight="1" x14ac:dyDescent="0.3">
      <c r="A186" s="82" t="s">
        <v>62</v>
      </c>
      <c r="B186" s="130" t="s">
        <v>392</v>
      </c>
      <c r="C186" s="62"/>
      <c r="D186" s="70"/>
      <c r="E186" s="383"/>
      <c r="F186" s="590"/>
    </row>
    <row r="187" spans="1:6" s="479" customFormat="1" ht="15" customHeight="1" x14ac:dyDescent="0.3">
      <c r="A187" s="66" t="s">
        <v>391</v>
      </c>
      <c r="B187" s="69" t="s">
        <v>387</v>
      </c>
      <c r="C187" s="163" t="s">
        <v>131</v>
      </c>
      <c r="D187" s="70">
        <f>34.98+(8.42*2+5.21)*0.3</f>
        <v>41.594999999999999</v>
      </c>
      <c r="E187" s="383"/>
      <c r="F187" s="590"/>
    </row>
    <row r="188" spans="1:6" s="479" customFormat="1" ht="15" customHeight="1" x14ac:dyDescent="0.3">
      <c r="A188" s="64" t="s">
        <v>63</v>
      </c>
      <c r="B188" s="127" t="s">
        <v>388</v>
      </c>
      <c r="C188" s="60"/>
      <c r="D188" s="131"/>
      <c r="E188" s="393"/>
      <c r="F188" s="590"/>
    </row>
    <row r="189" spans="1:6" s="479" customFormat="1" ht="15" customHeight="1" x14ac:dyDescent="0.3">
      <c r="A189" s="65" t="s">
        <v>394</v>
      </c>
      <c r="B189" s="69" t="s">
        <v>389</v>
      </c>
      <c r="C189" s="163" t="s">
        <v>131</v>
      </c>
      <c r="D189" s="131">
        <f>1.2*1.2*2</f>
        <v>2.88</v>
      </c>
      <c r="E189" s="393"/>
      <c r="F189" s="590"/>
    </row>
    <row r="190" spans="1:6" s="479" customFormat="1" ht="15" customHeight="1" x14ac:dyDescent="0.3">
      <c r="A190" s="65" t="s">
        <v>603</v>
      </c>
      <c r="B190" s="399" t="s">
        <v>602</v>
      </c>
      <c r="C190" s="163" t="s">
        <v>131</v>
      </c>
      <c r="D190" s="212">
        <f>+D189</f>
        <v>2.88</v>
      </c>
      <c r="E190" s="401"/>
      <c r="F190" s="590"/>
    </row>
    <row r="191" spans="1:6" s="504" customFormat="1" ht="15" customHeight="1" x14ac:dyDescent="0.3">
      <c r="A191" s="396" t="s">
        <v>487</v>
      </c>
      <c r="B191" s="111" t="s">
        <v>232</v>
      </c>
      <c r="C191" s="60"/>
      <c r="D191" s="392"/>
      <c r="E191" s="393"/>
      <c r="F191" s="590"/>
    </row>
    <row r="192" spans="1:6" s="504" customFormat="1" ht="24.9" customHeight="1" x14ac:dyDescent="0.3">
      <c r="A192" s="410" t="s">
        <v>488</v>
      </c>
      <c r="B192" s="69" t="s">
        <v>713</v>
      </c>
      <c r="C192" s="62" t="s">
        <v>54</v>
      </c>
      <c r="D192" s="387">
        <v>1</v>
      </c>
      <c r="E192" s="383"/>
      <c r="F192" s="591"/>
    </row>
    <row r="193" spans="1:6" s="479" customFormat="1" ht="15" customHeight="1" thickBot="1" x14ac:dyDescent="0.35">
      <c r="A193" s="77"/>
      <c r="B193" s="81"/>
      <c r="C193" s="139"/>
      <c r="D193" s="206"/>
      <c r="E193" s="207"/>
      <c r="F193" s="121"/>
    </row>
    <row r="194" spans="1:6" s="479" customFormat="1" ht="15" customHeight="1" thickBot="1" x14ac:dyDescent="0.35">
      <c r="A194" s="767" t="s">
        <v>395</v>
      </c>
      <c r="B194" s="768"/>
      <c r="C194" s="768"/>
      <c r="D194" s="768"/>
      <c r="E194" s="768"/>
      <c r="F194" s="586"/>
    </row>
    <row r="195" spans="1:6" s="504" customFormat="1" ht="15" customHeight="1" x14ac:dyDescent="0.3">
      <c r="A195" s="489"/>
      <c r="B195" s="390"/>
      <c r="C195" s="599"/>
      <c r="D195" s="600"/>
      <c r="E195" s="601"/>
      <c r="F195" s="533"/>
    </row>
    <row r="196" spans="1:6" s="479" customFormat="1" ht="15" customHeight="1" x14ac:dyDescent="0.3">
      <c r="A196" s="58" t="s">
        <v>396</v>
      </c>
      <c r="B196" s="99" t="s">
        <v>397</v>
      </c>
      <c r="C196" s="4"/>
      <c r="D196" s="24"/>
      <c r="E196" s="174"/>
      <c r="F196" s="98"/>
    </row>
    <row r="197" spans="1:6" s="479" customFormat="1" ht="15" customHeight="1" x14ac:dyDescent="0.3">
      <c r="A197" s="64"/>
      <c r="B197" s="111"/>
      <c r="C197" s="60"/>
      <c r="D197" s="218"/>
      <c r="E197" s="80"/>
      <c r="F197" s="119"/>
    </row>
    <row r="198" spans="1:6" s="479" customFormat="1" ht="15" customHeight="1" x14ac:dyDescent="0.3">
      <c r="A198" s="64" t="s">
        <v>400</v>
      </c>
      <c r="B198" s="111" t="s">
        <v>398</v>
      </c>
      <c r="C198" s="60" t="s">
        <v>6</v>
      </c>
      <c r="D198" s="131"/>
      <c r="E198" s="80"/>
      <c r="F198" s="119"/>
    </row>
    <row r="199" spans="1:6" s="479" customFormat="1" ht="15" customHeight="1" x14ac:dyDescent="0.3">
      <c r="A199" s="64" t="s">
        <v>401</v>
      </c>
      <c r="B199" s="127" t="s">
        <v>399</v>
      </c>
      <c r="C199" s="60"/>
      <c r="D199" s="131"/>
      <c r="E199" s="80"/>
      <c r="F199" s="119"/>
    </row>
    <row r="200" spans="1:6" s="479" customFormat="1" ht="24.9" customHeight="1" x14ac:dyDescent="0.3">
      <c r="A200" s="66" t="s">
        <v>402</v>
      </c>
      <c r="B200" s="69" t="s">
        <v>432</v>
      </c>
      <c r="C200" s="163" t="s">
        <v>137</v>
      </c>
      <c r="D200" s="70">
        <f>0.2*0.1*5*8.42</f>
        <v>0.84200000000000019</v>
      </c>
      <c r="E200" s="383"/>
      <c r="F200" s="591"/>
    </row>
    <row r="201" spans="1:6" s="479" customFormat="1" ht="24.9" customHeight="1" x14ac:dyDescent="0.3">
      <c r="A201" s="65" t="s">
        <v>403</v>
      </c>
      <c r="B201" s="69" t="s">
        <v>415</v>
      </c>
      <c r="C201" s="62" t="s">
        <v>15</v>
      </c>
      <c r="D201" s="70">
        <f>5.21+8.42*2*1.1</f>
        <v>23.734000000000002</v>
      </c>
      <c r="E201" s="383"/>
      <c r="F201" s="591"/>
    </row>
    <row r="202" spans="1:6" s="479" customFormat="1" ht="15" customHeight="1" thickBot="1" x14ac:dyDescent="0.35">
      <c r="A202" s="68"/>
      <c r="B202" s="132"/>
      <c r="C202" s="142"/>
      <c r="D202" s="221"/>
      <c r="E202" s="222"/>
      <c r="F202" s="606"/>
    </row>
    <row r="203" spans="1:6" s="479" customFormat="1" ht="15" customHeight="1" thickBot="1" x14ac:dyDescent="0.35">
      <c r="A203" s="767" t="s">
        <v>404</v>
      </c>
      <c r="B203" s="768"/>
      <c r="C203" s="768"/>
      <c r="D203" s="768"/>
      <c r="E203" s="768"/>
      <c r="F203" s="586"/>
    </row>
    <row r="204" spans="1:6" s="504" customFormat="1" ht="15" customHeight="1" x14ac:dyDescent="0.3">
      <c r="A204" s="407"/>
      <c r="B204" s="397"/>
      <c r="C204" s="397"/>
      <c r="D204" s="397"/>
      <c r="E204" s="408"/>
      <c r="F204" s="503"/>
    </row>
    <row r="205" spans="1:6" s="479" customFormat="1" ht="15" customHeight="1" x14ac:dyDescent="0.3">
      <c r="A205" s="58" t="s">
        <v>405</v>
      </c>
      <c r="B205" s="99" t="s">
        <v>408</v>
      </c>
      <c r="C205" s="4"/>
      <c r="D205" s="24"/>
      <c r="E205" s="223"/>
      <c r="F205" s="480"/>
    </row>
    <row r="206" spans="1:6" s="479" customFormat="1" ht="15" customHeight="1" x14ac:dyDescent="0.3">
      <c r="A206" s="64"/>
      <c r="B206" s="111"/>
      <c r="C206" s="60"/>
      <c r="D206" s="218"/>
      <c r="E206" s="80"/>
      <c r="F206" s="119"/>
    </row>
    <row r="207" spans="1:6" s="479" customFormat="1" ht="15" customHeight="1" x14ac:dyDescent="0.3">
      <c r="A207" s="64" t="s">
        <v>46</v>
      </c>
      <c r="B207" s="111" t="s">
        <v>409</v>
      </c>
      <c r="C207" s="60" t="s">
        <v>6</v>
      </c>
      <c r="D207" s="131"/>
      <c r="E207" s="80"/>
      <c r="F207" s="119"/>
    </row>
    <row r="208" spans="1:6" s="479" customFormat="1" ht="15" customHeight="1" x14ac:dyDescent="0.3">
      <c r="A208" s="64" t="s">
        <v>55</v>
      </c>
      <c r="B208" s="127" t="s">
        <v>538</v>
      </c>
      <c r="C208" s="60"/>
      <c r="D208" s="131"/>
      <c r="E208" s="80"/>
      <c r="F208" s="119"/>
    </row>
    <row r="209" spans="1:6" s="479" customFormat="1" ht="15" customHeight="1" x14ac:dyDescent="0.3">
      <c r="A209" s="66" t="s">
        <v>406</v>
      </c>
      <c r="B209" s="69" t="s">
        <v>433</v>
      </c>
      <c r="C209" s="163" t="s">
        <v>131</v>
      </c>
      <c r="D209" s="70">
        <v>48.44</v>
      </c>
      <c r="E209" s="383"/>
      <c r="F209" s="590"/>
    </row>
    <row r="210" spans="1:6" s="479" customFormat="1" ht="15" customHeight="1" thickBot="1" x14ac:dyDescent="0.35">
      <c r="A210" s="68"/>
      <c r="B210" s="132"/>
      <c r="C210" s="142"/>
      <c r="D210" s="221"/>
      <c r="E210" s="222"/>
      <c r="F210" s="143"/>
    </row>
    <row r="211" spans="1:6" s="479" customFormat="1" ht="15" customHeight="1" thickBot="1" x14ac:dyDescent="0.35">
      <c r="A211" s="767" t="s">
        <v>410</v>
      </c>
      <c r="B211" s="768"/>
      <c r="C211" s="768"/>
      <c r="D211" s="768"/>
      <c r="E211" s="768"/>
      <c r="F211" s="586"/>
    </row>
    <row r="212" spans="1:6" s="504" customFormat="1" ht="15" customHeight="1" x14ac:dyDescent="0.3">
      <c r="A212" s="411"/>
      <c r="B212" s="390"/>
      <c r="C212" s="390"/>
      <c r="D212" s="390"/>
      <c r="E212" s="412"/>
      <c r="F212" s="517"/>
    </row>
    <row r="213" spans="1:6" s="504" customFormat="1" ht="24.9" customHeight="1" thickBot="1" x14ac:dyDescent="0.35">
      <c r="A213" s="836" t="s">
        <v>689</v>
      </c>
      <c r="B213" s="837"/>
      <c r="C213" s="837"/>
      <c r="D213" s="838"/>
      <c r="E213" s="839"/>
      <c r="F213" s="840"/>
    </row>
    <row r="214" spans="1:6" s="504" customFormat="1" ht="15" customHeight="1" thickTop="1" thickBot="1" x14ac:dyDescent="0.35">
      <c r="A214" s="524"/>
      <c r="B214" s="524"/>
      <c r="C214" s="524"/>
      <c r="D214" s="524"/>
      <c r="E214" s="524"/>
      <c r="F214" s="524"/>
    </row>
    <row r="215" spans="1:6" s="504" customFormat="1" ht="33.75" customHeight="1" x14ac:dyDescent="0.3">
      <c r="A215" s="833" t="s">
        <v>605</v>
      </c>
      <c r="B215" s="834"/>
      <c r="C215" s="834"/>
      <c r="D215" s="834"/>
      <c r="E215" s="834"/>
      <c r="F215" s="835"/>
    </row>
    <row r="216" spans="1:6" s="504" customFormat="1" ht="15" customHeight="1" thickBot="1" x14ac:dyDescent="0.35">
      <c r="A216" s="477"/>
      <c r="B216" s="520"/>
      <c r="C216" s="520"/>
      <c r="D216" s="520"/>
      <c r="E216" s="520"/>
      <c r="F216" s="525"/>
    </row>
    <row r="217" spans="1:6" s="573" customFormat="1" ht="20.100000000000001" customHeight="1" thickTop="1" thickBot="1" x14ac:dyDescent="0.35">
      <c r="A217" s="572" t="s">
        <v>38</v>
      </c>
      <c r="B217" s="841" t="s">
        <v>39</v>
      </c>
      <c r="C217" s="841"/>
      <c r="D217" s="841"/>
      <c r="E217" s="841" t="s">
        <v>411</v>
      </c>
      <c r="F217" s="842"/>
    </row>
    <row r="218" spans="1:6" s="504" customFormat="1" ht="15" customHeight="1" thickTop="1" x14ac:dyDescent="0.3">
      <c r="A218" s="478"/>
      <c r="B218" s="843"/>
      <c r="C218" s="843"/>
      <c r="D218" s="843"/>
      <c r="E218" s="844"/>
      <c r="F218" s="845"/>
    </row>
    <row r="219" spans="1:6" s="504" customFormat="1" ht="15" customHeight="1" x14ac:dyDescent="0.3">
      <c r="A219" s="225" t="s">
        <v>143</v>
      </c>
      <c r="B219" s="774" t="s">
        <v>95</v>
      </c>
      <c r="C219" s="774"/>
      <c r="D219" s="774"/>
      <c r="E219" s="780"/>
      <c r="F219" s="781"/>
    </row>
    <row r="220" spans="1:6" s="504" customFormat="1" ht="15" customHeight="1" x14ac:dyDescent="0.3">
      <c r="A220" s="225" t="s">
        <v>144</v>
      </c>
      <c r="B220" s="774" t="s">
        <v>100</v>
      </c>
      <c r="C220" s="774"/>
      <c r="D220" s="774"/>
      <c r="E220" s="780"/>
      <c r="F220" s="781"/>
    </row>
    <row r="221" spans="1:6" s="504" customFormat="1" ht="15" customHeight="1" x14ac:dyDescent="0.3">
      <c r="A221" s="226" t="s">
        <v>136</v>
      </c>
      <c r="B221" s="808" t="s">
        <v>103</v>
      </c>
      <c r="C221" s="808"/>
      <c r="D221" s="808"/>
      <c r="E221" s="780"/>
      <c r="F221" s="781"/>
    </row>
    <row r="222" spans="1:6" s="504" customFormat="1" ht="15" customHeight="1" x14ac:dyDescent="0.3">
      <c r="A222" s="226" t="s">
        <v>176</v>
      </c>
      <c r="B222" s="808" t="s">
        <v>177</v>
      </c>
      <c r="C222" s="808"/>
      <c r="D222" s="808"/>
      <c r="E222" s="780"/>
      <c r="F222" s="781"/>
    </row>
    <row r="223" spans="1:6" s="504" customFormat="1" ht="15" customHeight="1" x14ac:dyDescent="0.3">
      <c r="A223" s="226" t="s">
        <v>182</v>
      </c>
      <c r="B223" s="808" t="s">
        <v>656</v>
      </c>
      <c r="C223" s="808"/>
      <c r="D223" s="808"/>
      <c r="E223" s="780"/>
      <c r="F223" s="781"/>
    </row>
    <row r="224" spans="1:6" s="504" customFormat="1" ht="15" customHeight="1" x14ac:dyDescent="0.3">
      <c r="A224" s="226" t="s">
        <v>183</v>
      </c>
      <c r="B224" s="808" t="s">
        <v>184</v>
      </c>
      <c r="C224" s="808"/>
      <c r="D224" s="808"/>
      <c r="E224" s="780"/>
      <c r="F224" s="781"/>
    </row>
    <row r="225" spans="1:6" s="504" customFormat="1" ht="15" customHeight="1" x14ac:dyDescent="0.3">
      <c r="A225" s="226" t="s">
        <v>249</v>
      </c>
      <c r="B225" s="808" t="s">
        <v>250</v>
      </c>
      <c r="C225" s="808"/>
      <c r="D225" s="808"/>
      <c r="E225" s="780"/>
      <c r="F225" s="781"/>
    </row>
    <row r="226" spans="1:6" s="504" customFormat="1" ht="15" customHeight="1" x14ac:dyDescent="0.3">
      <c r="A226" s="226" t="s">
        <v>292</v>
      </c>
      <c r="B226" s="808" t="s">
        <v>293</v>
      </c>
      <c r="C226" s="808"/>
      <c r="D226" s="808"/>
      <c r="E226" s="780"/>
      <c r="F226" s="781"/>
    </row>
    <row r="227" spans="1:6" s="504" customFormat="1" ht="15" customHeight="1" x14ac:dyDescent="0.3">
      <c r="A227" s="226" t="s">
        <v>309</v>
      </c>
      <c r="B227" s="808" t="s">
        <v>310</v>
      </c>
      <c r="C227" s="808"/>
      <c r="D227" s="808"/>
      <c r="E227" s="780"/>
      <c r="F227" s="781"/>
    </row>
    <row r="228" spans="1:6" s="504" customFormat="1" ht="15" customHeight="1" x14ac:dyDescent="0.3">
      <c r="A228" s="226" t="s">
        <v>327</v>
      </c>
      <c r="B228" s="808" t="s">
        <v>328</v>
      </c>
      <c r="C228" s="808"/>
      <c r="D228" s="808"/>
      <c r="E228" s="780"/>
      <c r="F228" s="781"/>
    </row>
    <row r="229" spans="1:6" s="504" customFormat="1" ht="15" customHeight="1" x14ac:dyDescent="0.3">
      <c r="A229" s="226" t="s">
        <v>334</v>
      </c>
      <c r="B229" s="808" t="s">
        <v>335</v>
      </c>
      <c r="C229" s="808"/>
      <c r="D229" s="808"/>
      <c r="E229" s="780"/>
      <c r="F229" s="781"/>
    </row>
    <row r="230" spans="1:6" s="504" customFormat="1" ht="15" customHeight="1" x14ac:dyDescent="0.3">
      <c r="A230" s="226" t="s">
        <v>349</v>
      </c>
      <c r="B230" s="808" t="s">
        <v>350</v>
      </c>
      <c r="C230" s="808"/>
      <c r="D230" s="808"/>
      <c r="E230" s="780"/>
      <c r="F230" s="781"/>
    </row>
    <row r="231" spans="1:6" s="504" customFormat="1" ht="15" customHeight="1" x14ac:dyDescent="0.3">
      <c r="A231" s="226" t="s">
        <v>367</v>
      </c>
      <c r="B231" s="808" t="s">
        <v>368</v>
      </c>
      <c r="C231" s="808"/>
      <c r="D231" s="808"/>
      <c r="E231" s="780"/>
      <c r="F231" s="781"/>
    </row>
    <row r="232" spans="1:6" s="504" customFormat="1" ht="15" customHeight="1" x14ac:dyDescent="0.3">
      <c r="A232" s="226" t="s">
        <v>372</v>
      </c>
      <c r="B232" s="808" t="s">
        <v>373</v>
      </c>
      <c r="C232" s="808"/>
      <c r="D232" s="808"/>
      <c r="E232" s="780"/>
      <c r="F232" s="781"/>
    </row>
    <row r="233" spans="1:6" s="504" customFormat="1" ht="15" customHeight="1" x14ac:dyDescent="0.3">
      <c r="A233" s="226" t="s">
        <v>396</v>
      </c>
      <c r="B233" s="808" t="s">
        <v>397</v>
      </c>
      <c r="C233" s="808"/>
      <c r="D233" s="808"/>
      <c r="E233" s="780"/>
      <c r="F233" s="781"/>
    </row>
    <row r="234" spans="1:6" s="504" customFormat="1" ht="15" customHeight="1" x14ac:dyDescent="0.3">
      <c r="A234" s="226" t="s">
        <v>405</v>
      </c>
      <c r="B234" s="808" t="s">
        <v>408</v>
      </c>
      <c r="C234" s="808"/>
      <c r="D234" s="808"/>
      <c r="E234" s="780"/>
      <c r="F234" s="781"/>
    </row>
    <row r="235" spans="1:6" s="504" customFormat="1" ht="15" customHeight="1" thickBot="1" x14ac:dyDescent="0.35">
      <c r="A235" s="196"/>
      <c r="B235" s="846"/>
      <c r="C235" s="846"/>
      <c r="D235" s="846"/>
      <c r="E235" s="847"/>
      <c r="F235" s="848"/>
    </row>
    <row r="236" spans="1:6" s="504" customFormat="1" ht="24.9" customHeight="1" thickTop="1" thickBot="1" x14ac:dyDescent="0.35">
      <c r="A236" s="811" t="s">
        <v>689</v>
      </c>
      <c r="B236" s="812"/>
      <c r="C236" s="812"/>
      <c r="D236" s="812"/>
      <c r="E236" s="828"/>
      <c r="F236" s="829"/>
    </row>
    <row r="237" spans="1:6" s="45" customFormat="1" ht="15" customHeight="1" thickTop="1" x14ac:dyDescent="0.3">
      <c r="A237" s="55"/>
      <c r="B237" s="55"/>
      <c r="C237" s="55"/>
      <c r="D237" s="55"/>
      <c r="E237" s="55"/>
      <c r="F237" s="55"/>
    </row>
  </sheetData>
  <mergeCells count="61">
    <mergeCell ref="B229:D229"/>
    <mergeCell ref="E229:F229"/>
    <mergeCell ref="B235:D235"/>
    <mergeCell ref="E235:F235"/>
    <mergeCell ref="A236:D236"/>
    <mergeCell ref="E236:F236"/>
    <mergeCell ref="B230:D230"/>
    <mergeCell ref="E230:F230"/>
    <mergeCell ref="B231:D231"/>
    <mergeCell ref="E231:F231"/>
    <mergeCell ref="B232:D232"/>
    <mergeCell ref="E232:F232"/>
    <mergeCell ref="B226:D226"/>
    <mergeCell ref="E226:F226"/>
    <mergeCell ref="B227:D227"/>
    <mergeCell ref="E227:F227"/>
    <mergeCell ref="B228:D228"/>
    <mergeCell ref="E228:F228"/>
    <mergeCell ref="B223:D223"/>
    <mergeCell ref="E223:F223"/>
    <mergeCell ref="B224:D224"/>
    <mergeCell ref="E224:F224"/>
    <mergeCell ref="B225:D225"/>
    <mergeCell ref="E225:F225"/>
    <mergeCell ref="B220:D220"/>
    <mergeCell ref="E220:F220"/>
    <mergeCell ref="B221:D221"/>
    <mergeCell ref="E221:F221"/>
    <mergeCell ref="B222:D222"/>
    <mergeCell ref="E222:F222"/>
    <mergeCell ref="B217:D217"/>
    <mergeCell ref="E217:F217"/>
    <mergeCell ref="B218:D218"/>
    <mergeCell ref="E218:F218"/>
    <mergeCell ref="B219:D219"/>
    <mergeCell ref="E219:F219"/>
    <mergeCell ref="A2:F2"/>
    <mergeCell ref="A3:F3"/>
    <mergeCell ref="B233:D233"/>
    <mergeCell ref="E233:F233"/>
    <mergeCell ref="B234:D234"/>
    <mergeCell ref="E234:F234"/>
    <mergeCell ref="A152:E152"/>
    <mergeCell ref="A109:E109"/>
    <mergeCell ref="A215:F215"/>
    <mergeCell ref="A25:E25"/>
    <mergeCell ref="A57:E57"/>
    <mergeCell ref="A65:E65"/>
    <mergeCell ref="A79:E79"/>
    <mergeCell ref="A211:E211"/>
    <mergeCell ref="A213:D213"/>
    <mergeCell ref="E213:F213"/>
    <mergeCell ref="A162:E162"/>
    <mergeCell ref="A171:E171"/>
    <mergeCell ref="A194:E194"/>
    <mergeCell ref="A203:E203"/>
    <mergeCell ref="A15:E15"/>
    <mergeCell ref="A72:E72"/>
    <mergeCell ref="A121:E121"/>
    <mergeCell ref="A135:E135"/>
    <mergeCell ref="A143:E14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88"/>
  <sheetViews>
    <sheetView topLeftCell="A170" workbookViewId="0">
      <selection activeCell="E163" sqref="E163:F163"/>
    </sheetView>
  </sheetViews>
  <sheetFormatPr baseColWidth="10" defaultRowHeight="14.4" x14ac:dyDescent="0.3"/>
  <cols>
    <col min="1" max="1" width="7.6640625" customWidth="1"/>
    <col min="2" max="2" width="43.6640625" customWidth="1"/>
    <col min="3" max="3" width="6.6640625" customWidth="1"/>
    <col min="4" max="4" width="10.6640625" customWidth="1"/>
    <col min="5" max="5" width="12.6640625" customWidth="1"/>
    <col min="6" max="6" width="15.6640625" customWidth="1"/>
  </cols>
  <sheetData>
    <row r="1" spans="1:6" s="19" customFormat="1" x14ac:dyDescent="0.3">
      <c r="A1" s="227"/>
    </row>
    <row r="2" spans="1:6" s="19" customFormat="1" ht="15.6" x14ac:dyDescent="0.3">
      <c r="A2" s="820" t="s">
        <v>609</v>
      </c>
      <c r="B2" s="820"/>
      <c r="C2" s="820"/>
      <c r="D2" s="820"/>
      <c r="E2" s="820"/>
      <c r="F2" s="820"/>
    </row>
    <row r="3" spans="1:6" s="19" customFormat="1" ht="15.6" x14ac:dyDescent="0.3">
      <c r="A3" s="820" t="s">
        <v>471</v>
      </c>
      <c r="B3" s="820"/>
      <c r="C3" s="820"/>
      <c r="D3" s="820"/>
      <c r="E3" s="820"/>
      <c r="F3" s="820"/>
    </row>
    <row r="4" spans="1:6" s="19" customFormat="1" ht="15" thickBot="1" x14ac:dyDescent="0.35">
      <c r="A4" s="227"/>
    </row>
    <row r="5" spans="1:6" s="19" customFormat="1" ht="24.9" customHeight="1" thickTop="1" x14ac:dyDescent="0.3">
      <c r="A5" s="542" t="s">
        <v>38</v>
      </c>
      <c r="B5" s="231" t="s">
        <v>0</v>
      </c>
      <c r="C5" s="230" t="s">
        <v>1</v>
      </c>
      <c r="D5" s="232" t="s">
        <v>83</v>
      </c>
      <c r="E5" s="233" t="s">
        <v>104</v>
      </c>
      <c r="F5" s="234" t="s">
        <v>2</v>
      </c>
    </row>
    <row r="6" spans="1:6" s="19" customFormat="1" ht="15" customHeight="1" x14ac:dyDescent="0.3">
      <c r="A6" s="543"/>
      <c r="B6" s="235"/>
      <c r="C6" s="625"/>
      <c r="D6" s="626"/>
      <c r="E6" s="627"/>
      <c r="F6" s="628"/>
    </row>
    <row r="7" spans="1:6" s="497" customFormat="1" ht="15" customHeight="1" x14ac:dyDescent="0.3">
      <c r="A7" s="629" t="s">
        <v>143</v>
      </c>
      <c r="B7" s="630" t="s">
        <v>95</v>
      </c>
      <c r="C7" s="631"/>
      <c r="D7" s="632"/>
      <c r="E7" s="615"/>
      <c r="F7" s="616"/>
    </row>
    <row r="8" spans="1:6" s="497" customFormat="1" ht="15" customHeight="1" x14ac:dyDescent="0.3">
      <c r="A8" s="633"/>
      <c r="B8" s="634"/>
      <c r="C8" s="635"/>
      <c r="D8" s="636"/>
      <c r="E8" s="615"/>
      <c r="F8" s="637"/>
    </row>
    <row r="9" spans="1:6" s="497" customFormat="1" ht="15" customHeight="1" x14ac:dyDescent="0.3">
      <c r="A9" s="633" t="s">
        <v>96</v>
      </c>
      <c r="B9" s="638" t="s">
        <v>88</v>
      </c>
      <c r="C9" s="631"/>
      <c r="D9" s="632"/>
      <c r="E9" s="615"/>
      <c r="F9" s="616"/>
    </row>
    <row r="10" spans="1:6" s="497" customFormat="1" ht="15" customHeight="1" x14ac:dyDescent="0.3">
      <c r="A10" s="66" t="s">
        <v>97</v>
      </c>
      <c r="B10" s="639" t="s">
        <v>99</v>
      </c>
      <c r="C10" s="640" t="s">
        <v>412</v>
      </c>
      <c r="D10" s="70">
        <f>8*3.6</f>
        <v>28.8</v>
      </c>
      <c r="E10" s="383"/>
      <c r="F10" s="591"/>
    </row>
    <row r="11" spans="1:6" s="497" customFormat="1" ht="15" customHeight="1" x14ac:dyDescent="0.3">
      <c r="A11" s="66" t="s">
        <v>98</v>
      </c>
      <c r="B11" s="639" t="s">
        <v>145</v>
      </c>
      <c r="C11" s="640" t="s">
        <v>414</v>
      </c>
      <c r="D11" s="70">
        <v>1</v>
      </c>
      <c r="E11" s="383"/>
      <c r="F11" s="591"/>
    </row>
    <row r="12" spans="1:6" s="497" customFormat="1" ht="15" customHeight="1" thickBot="1" x14ac:dyDescent="0.35">
      <c r="A12" s="43"/>
      <c r="B12" s="539"/>
      <c r="C12" s="540"/>
      <c r="D12" s="541"/>
      <c r="E12" s="536"/>
      <c r="F12" s="537"/>
    </row>
    <row r="13" spans="1:6" s="497" customFormat="1" ht="15" customHeight="1" thickBot="1" x14ac:dyDescent="0.35">
      <c r="A13" s="767" t="s">
        <v>189</v>
      </c>
      <c r="B13" s="768"/>
      <c r="C13" s="768"/>
      <c r="D13" s="768"/>
      <c r="E13" s="768"/>
      <c r="F13" s="586"/>
    </row>
    <row r="14" spans="1:6" s="497" customFormat="1" ht="15" customHeight="1" x14ac:dyDescent="0.3">
      <c r="A14" s="43"/>
      <c r="B14" s="539"/>
      <c r="C14" s="540"/>
      <c r="D14" s="541"/>
      <c r="E14" s="536"/>
      <c r="F14" s="537"/>
    </row>
    <row r="15" spans="1:6" s="504" customFormat="1" ht="15" customHeight="1" x14ac:dyDescent="0.3">
      <c r="A15" s="58" t="s">
        <v>144</v>
      </c>
      <c r="B15" s="526" t="s">
        <v>575</v>
      </c>
      <c r="C15" s="60"/>
      <c r="D15" s="394"/>
      <c r="E15" s="80"/>
      <c r="F15" s="476"/>
    </row>
    <row r="16" spans="1:6" s="19" customFormat="1" ht="15" customHeight="1" x14ac:dyDescent="0.3">
      <c r="A16" s="279"/>
      <c r="B16" s="239"/>
      <c r="C16" s="241"/>
      <c r="D16" s="242"/>
      <c r="E16" s="243"/>
      <c r="F16" s="244"/>
    </row>
    <row r="17" spans="1:6" s="19" customFormat="1" ht="15" customHeight="1" x14ac:dyDescent="0.3">
      <c r="A17" s="279" t="s">
        <v>101</v>
      </c>
      <c r="B17" s="239" t="s">
        <v>540</v>
      </c>
      <c r="C17" s="641"/>
      <c r="D17" s="642"/>
      <c r="E17" s="618"/>
      <c r="F17" s="284"/>
    </row>
    <row r="18" spans="1:6" s="19" customFormat="1" ht="15" customHeight="1" x14ac:dyDescent="0.3">
      <c r="A18" s="544" t="s">
        <v>102</v>
      </c>
      <c r="B18" s="245" t="s">
        <v>435</v>
      </c>
      <c r="C18" s="246" t="s">
        <v>8</v>
      </c>
      <c r="D18" s="247">
        <f>8.06*4.44*1.1</f>
        <v>39.365040000000015</v>
      </c>
      <c r="E18" s="648"/>
      <c r="F18" s="647"/>
    </row>
    <row r="19" spans="1:6" s="19" customFormat="1" ht="15" customHeight="1" x14ac:dyDescent="0.3">
      <c r="A19" s="544" t="s">
        <v>543</v>
      </c>
      <c r="B19" s="245" t="s">
        <v>490</v>
      </c>
      <c r="C19" s="246" t="s">
        <v>18</v>
      </c>
      <c r="D19" s="247">
        <v>2</v>
      </c>
      <c r="E19" s="648"/>
      <c r="F19" s="647"/>
    </row>
    <row r="20" spans="1:6" s="479" customFormat="1" ht="15" customHeight="1" x14ac:dyDescent="0.3">
      <c r="A20" s="44" t="s">
        <v>105</v>
      </c>
      <c r="B20" s="643" t="s">
        <v>110</v>
      </c>
      <c r="C20" s="162"/>
      <c r="D20" s="164"/>
      <c r="E20" s="649"/>
      <c r="F20" s="647"/>
    </row>
    <row r="21" spans="1:6" s="479" customFormat="1" ht="15" customHeight="1" x14ac:dyDescent="0.3">
      <c r="A21" s="43" t="s">
        <v>109</v>
      </c>
      <c r="B21" s="94" t="s">
        <v>610</v>
      </c>
      <c r="C21" s="161" t="s">
        <v>413</v>
      </c>
      <c r="D21" s="164">
        <v>3.21</v>
      </c>
      <c r="E21" s="649"/>
      <c r="F21" s="647"/>
    </row>
    <row r="22" spans="1:6" s="479" customFormat="1" ht="15" customHeight="1" x14ac:dyDescent="0.3">
      <c r="A22" s="44" t="s">
        <v>546</v>
      </c>
      <c r="B22" s="97" t="s">
        <v>611</v>
      </c>
      <c r="C22" s="162"/>
      <c r="D22" s="164"/>
      <c r="E22" s="649"/>
      <c r="F22" s="647"/>
    </row>
    <row r="23" spans="1:6" s="479" customFormat="1" ht="15" customHeight="1" x14ac:dyDescent="0.3">
      <c r="A23" s="43" t="s">
        <v>547</v>
      </c>
      <c r="B23" s="94" t="s">
        <v>107</v>
      </c>
      <c r="C23" s="161" t="s">
        <v>413</v>
      </c>
      <c r="D23" s="164">
        <f>+D21*0.5</f>
        <v>1.605</v>
      </c>
      <c r="E23" s="649"/>
      <c r="F23" s="647"/>
    </row>
    <row r="24" spans="1:6" s="19" customFormat="1" ht="15" customHeight="1" thickBot="1" x14ac:dyDescent="0.35">
      <c r="A24" s="545"/>
      <c r="B24" s="249"/>
      <c r="C24" s="250"/>
      <c r="D24" s="250"/>
      <c r="E24" s="250"/>
      <c r="F24" s="370"/>
    </row>
    <row r="25" spans="1:6" s="19" customFormat="1" ht="15" customHeight="1" thickBot="1" x14ac:dyDescent="0.35">
      <c r="A25" s="852" t="s">
        <v>438</v>
      </c>
      <c r="B25" s="853"/>
      <c r="C25" s="853"/>
      <c r="D25" s="853"/>
      <c r="E25" s="854"/>
      <c r="F25" s="251"/>
    </row>
    <row r="26" spans="1:6" s="19" customFormat="1" ht="15" customHeight="1" x14ac:dyDescent="0.3">
      <c r="A26" s="252"/>
      <c r="B26" s="253"/>
      <c r="C26" s="254"/>
      <c r="D26" s="253"/>
      <c r="E26" s="255"/>
      <c r="F26" s="240"/>
    </row>
    <row r="27" spans="1:6" s="504" customFormat="1" ht="15" customHeight="1" x14ac:dyDescent="0.3">
      <c r="A27" s="58" t="s">
        <v>136</v>
      </c>
      <c r="B27" s="526" t="s">
        <v>612</v>
      </c>
      <c r="C27" s="60"/>
      <c r="D27" s="394"/>
      <c r="E27" s="80"/>
      <c r="F27" s="476"/>
    </row>
    <row r="28" spans="1:6" s="19" customFormat="1" ht="15" customHeight="1" x14ac:dyDescent="0.3">
      <c r="A28" s="256"/>
      <c r="B28" s="239"/>
      <c r="C28" s="257"/>
      <c r="D28" s="258"/>
      <c r="E28" s="259"/>
      <c r="F28" s="260"/>
    </row>
    <row r="29" spans="1:6" s="19" customFormat="1" ht="15" customHeight="1" x14ac:dyDescent="0.3">
      <c r="A29" s="256" t="s">
        <v>4</v>
      </c>
      <c r="B29" s="261" t="s">
        <v>579</v>
      </c>
      <c r="C29" s="257"/>
      <c r="D29" s="258"/>
      <c r="E29" s="259"/>
      <c r="F29" s="260"/>
    </row>
    <row r="30" spans="1:6" s="19" customFormat="1" ht="15" customHeight="1" x14ac:dyDescent="0.3">
      <c r="A30" s="256" t="s">
        <v>5</v>
      </c>
      <c r="B30" s="549" t="s">
        <v>114</v>
      </c>
      <c r="C30" s="257" t="s">
        <v>3</v>
      </c>
      <c r="D30" s="302">
        <f>+(0.9*0.9*0.05*9)*1.2*1.2</f>
        <v>0.52488000000000001</v>
      </c>
      <c r="E30" s="287"/>
      <c r="F30" s="334"/>
    </row>
    <row r="31" spans="1:6" s="19" customFormat="1" ht="15" customHeight="1" x14ac:dyDescent="0.3">
      <c r="A31" s="256" t="s">
        <v>9</v>
      </c>
      <c r="B31" s="549" t="s">
        <v>613</v>
      </c>
      <c r="C31" s="257"/>
      <c r="D31" s="258"/>
      <c r="E31" s="259"/>
      <c r="F31" s="260"/>
    </row>
    <row r="32" spans="1:6" s="19" customFormat="1" ht="15" customHeight="1" x14ac:dyDescent="0.3">
      <c r="A32" s="262" t="s">
        <v>115</v>
      </c>
      <c r="B32" s="263" t="s">
        <v>138</v>
      </c>
      <c r="C32" s="257" t="s">
        <v>3</v>
      </c>
      <c r="D32" s="264">
        <f>(0.9*0.9*0.15*9+0.3*0.3*0.45*9+2*0.6*0.27*1.18)*1.2</f>
        <v>2.2083839999999997</v>
      </c>
      <c r="E32" s="265"/>
      <c r="F32" s="248"/>
    </row>
    <row r="33" spans="1:6" s="19" customFormat="1" ht="15" customHeight="1" x14ac:dyDescent="0.3">
      <c r="A33" s="262" t="s">
        <v>116</v>
      </c>
      <c r="B33" s="263" t="s">
        <v>585</v>
      </c>
      <c r="C33" s="257" t="s">
        <v>84</v>
      </c>
      <c r="D33" s="264">
        <f>+D32*60</f>
        <v>132.50303999999997</v>
      </c>
      <c r="E33" s="265"/>
      <c r="F33" s="248"/>
    </row>
    <row r="34" spans="1:6" s="19" customFormat="1" ht="15" customHeight="1" x14ac:dyDescent="0.3">
      <c r="A34" s="262" t="s">
        <v>661</v>
      </c>
      <c r="B34" s="263" t="s">
        <v>581</v>
      </c>
      <c r="C34" s="257" t="s">
        <v>8</v>
      </c>
      <c r="D34" s="264">
        <f>2*0.3*0.45*9</f>
        <v>2.4300000000000002</v>
      </c>
      <c r="E34" s="265"/>
      <c r="F34" s="248"/>
    </row>
    <row r="35" spans="1:6" s="19" customFormat="1" ht="15" customHeight="1" x14ac:dyDescent="0.3">
      <c r="A35" s="256" t="s">
        <v>10</v>
      </c>
      <c r="B35" s="261" t="s">
        <v>586</v>
      </c>
      <c r="C35" s="257"/>
      <c r="D35" s="264"/>
      <c r="E35" s="265"/>
      <c r="F35" s="248"/>
    </row>
    <row r="36" spans="1:6" s="19" customFormat="1" ht="15" customHeight="1" x14ac:dyDescent="0.3">
      <c r="A36" s="256" t="s">
        <v>11</v>
      </c>
      <c r="B36" s="550" t="s">
        <v>659</v>
      </c>
      <c r="C36" s="267"/>
      <c r="D36" s="268"/>
      <c r="E36" s="265"/>
      <c r="F36" s="248"/>
    </row>
    <row r="37" spans="1:6" s="19" customFormat="1" ht="15" customHeight="1" x14ac:dyDescent="0.3">
      <c r="A37" s="262" t="s">
        <v>147</v>
      </c>
      <c r="B37" s="266" t="s">
        <v>138</v>
      </c>
      <c r="C37" s="267" t="s">
        <v>3</v>
      </c>
      <c r="D37" s="268">
        <f>(3*0.45*0.3*11.26+(5.2*6.06*0.1)*1.2)</f>
        <v>8.3417399999999997</v>
      </c>
      <c r="E37" s="265"/>
      <c r="F37" s="248"/>
    </row>
    <row r="38" spans="1:6" s="19" customFormat="1" ht="15" customHeight="1" x14ac:dyDescent="0.3">
      <c r="A38" s="262" t="s">
        <v>148</v>
      </c>
      <c r="B38" s="266" t="s">
        <v>585</v>
      </c>
      <c r="C38" s="267" t="s">
        <v>84</v>
      </c>
      <c r="D38" s="268">
        <f>+D37*100</f>
        <v>834.17399999999998</v>
      </c>
      <c r="E38" s="265"/>
      <c r="F38" s="248"/>
    </row>
    <row r="39" spans="1:6" s="19" customFormat="1" ht="15" customHeight="1" x14ac:dyDescent="0.3">
      <c r="A39" s="262" t="s">
        <v>149</v>
      </c>
      <c r="B39" s="266" t="s">
        <v>581</v>
      </c>
      <c r="C39" s="267" t="s">
        <v>8</v>
      </c>
      <c r="D39" s="268">
        <f>+D37*12</f>
        <v>100.10087999999999</v>
      </c>
      <c r="E39" s="265"/>
      <c r="F39" s="248"/>
    </row>
    <row r="40" spans="1:6" s="504" customFormat="1" ht="15" customHeight="1" x14ac:dyDescent="0.3">
      <c r="A40" s="64" t="s">
        <v>12</v>
      </c>
      <c r="B40" s="395" t="s">
        <v>481</v>
      </c>
      <c r="C40" s="514"/>
      <c r="D40" s="515"/>
      <c r="E40" s="401"/>
      <c r="F40" s="385"/>
    </row>
    <row r="41" spans="1:6" s="504" customFormat="1" ht="15" customHeight="1" x14ac:dyDescent="0.3">
      <c r="A41" s="77" t="s">
        <v>150</v>
      </c>
      <c r="B41" s="377" t="s">
        <v>738</v>
      </c>
      <c r="C41" s="514" t="s">
        <v>8</v>
      </c>
      <c r="D41" s="515">
        <f>+(1.5*5.2*3+0.15*1.2*9+1.2*6.06+1.5*6.06*2)*1.1</f>
        <v>55.519200000000005</v>
      </c>
      <c r="E41" s="401"/>
      <c r="F41" s="385"/>
    </row>
    <row r="42" spans="1:6" s="19" customFormat="1" ht="15" customHeight="1" x14ac:dyDescent="0.3">
      <c r="A42" s="256" t="s">
        <v>692</v>
      </c>
      <c r="B42" s="261" t="s">
        <v>739</v>
      </c>
      <c r="C42" s="269"/>
      <c r="D42" s="270"/>
      <c r="E42" s="271"/>
      <c r="F42" s="248"/>
    </row>
    <row r="43" spans="1:6" s="83" customFormat="1" ht="24.9" customHeight="1" x14ac:dyDescent="0.3">
      <c r="A43" s="551" t="s">
        <v>693</v>
      </c>
      <c r="B43" s="273" t="s">
        <v>740</v>
      </c>
      <c r="C43" s="552" t="s">
        <v>54</v>
      </c>
      <c r="D43" s="553">
        <v>4</v>
      </c>
      <c r="E43" s="554"/>
      <c r="F43" s="248"/>
    </row>
    <row r="44" spans="1:6" s="19" customFormat="1" ht="15" customHeight="1" thickBot="1" x14ac:dyDescent="0.35">
      <c r="A44" s="272"/>
      <c r="B44" s="274"/>
      <c r="C44" s="275"/>
      <c r="D44" s="276"/>
      <c r="E44" s="277"/>
      <c r="F44" s="278"/>
    </row>
    <row r="45" spans="1:6" s="19" customFormat="1" ht="15" customHeight="1" thickBot="1" x14ac:dyDescent="0.35">
      <c r="A45" s="852" t="s">
        <v>14</v>
      </c>
      <c r="B45" s="853"/>
      <c r="C45" s="853"/>
      <c r="D45" s="853"/>
      <c r="E45" s="854"/>
      <c r="F45" s="251"/>
    </row>
    <row r="46" spans="1:6" s="19" customFormat="1" ht="15" customHeight="1" x14ac:dyDescent="0.3">
      <c r="A46" s="279"/>
      <c r="B46" s="280"/>
      <c r="C46" s="281"/>
      <c r="D46" s="280"/>
      <c r="E46" s="281"/>
      <c r="F46" s="240"/>
    </row>
    <row r="47" spans="1:6" s="504" customFormat="1" ht="15" customHeight="1" x14ac:dyDescent="0.3">
      <c r="A47" s="58" t="s">
        <v>176</v>
      </c>
      <c r="B47" s="526" t="s">
        <v>590</v>
      </c>
      <c r="C47" s="60"/>
      <c r="D47" s="394"/>
      <c r="E47" s="80"/>
      <c r="F47" s="476"/>
    </row>
    <row r="48" spans="1:6" s="19" customFormat="1" ht="15" customHeight="1" x14ac:dyDescent="0.3">
      <c r="A48" s="256"/>
      <c r="B48" s="261"/>
      <c r="C48" s="282"/>
      <c r="D48" s="283"/>
      <c r="E48" s="282"/>
      <c r="F48" s="284"/>
    </row>
    <row r="49" spans="1:6" s="19" customFormat="1" ht="15" customHeight="1" x14ac:dyDescent="0.3">
      <c r="A49" s="256" t="s">
        <v>53</v>
      </c>
      <c r="B49" s="261" t="s">
        <v>591</v>
      </c>
      <c r="C49" s="282"/>
      <c r="D49" s="283"/>
      <c r="E49" s="282"/>
      <c r="F49" s="284"/>
    </row>
    <row r="50" spans="1:6" s="19" customFormat="1" ht="15" customHeight="1" x14ac:dyDescent="0.3">
      <c r="A50" s="262" t="s">
        <v>82</v>
      </c>
      <c r="B50" s="285" t="s">
        <v>614</v>
      </c>
      <c r="C50" s="257" t="s">
        <v>8</v>
      </c>
      <c r="D50" s="286">
        <f>6.06*4.04</f>
        <v>24.482399999999998</v>
      </c>
      <c r="E50" s="287"/>
      <c r="F50" s="288"/>
    </row>
    <row r="51" spans="1:6" s="19" customFormat="1" ht="15" customHeight="1" x14ac:dyDescent="0.3">
      <c r="A51" s="262" t="s">
        <v>178</v>
      </c>
      <c r="B51" s="285" t="s">
        <v>491</v>
      </c>
      <c r="C51" s="257" t="s">
        <v>18</v>
      </c>
      <c r="D51" s="286">
        <v>4</v>
      </c>
      <c r="E51" s="265"/>
      <c r="F51" s="288"/>
    </row>
    <row r="52" spans="1:6" s="19" customFormat="1" ht="15" customHeight="1" thickBot="1" x14ac:dyDescent="0.35">
      <c r="A52" s="289"/>
      <c r="B52" s="290"/>
      <c r="C52" s="291"/>
      <c r="D52" s="290"/>
      <c r="E52" s="291"/>
      <c r="F52" s="292"/>
    </row>
    <row r="53" spans="1:6" s="19" customFormat="1" ht="15" customHeight="1" thickBot="1" x14ac:dyDescent="0.35">
      <c r="A53" s="852" t="s">
        <v>439</v>
      </c>
      <c r="B53" s="853"/>
      <c r="C53" s="853"/>
      <c r="D53" s="853"/>
      <c r="E53" s="854"/>
      <c r="F53" s="251"/>
    </row>
    <row r="54" spans="1:6" s="19" customFormat="1" ht="15" customHeight="1" x14ac:dyDescent="0.3">
      <c r="A54" s="279"/>
      <c r="B54" s="280"/>
      <c r="C54" s="281"/>
      <c r="D54" s="280"/>
      <c r="E54" s="281"/>
      <c r="F54" s="240"/>
    </row>
    <row r="55" spans="1:6" s="504" customFormat="1" ht="15" customHeight="1" x14ac:dyDescent="0.3">
      <c r="A55" s="58" t="s">
        <v>615</v>
      </c>
      <c r="B55" s="526" t="s">
        <v>616</v>
      </c>
      <c r="C55" s="60"/>
      <c r="D55" s="394"/>
      <c r="E55" s="80"/>
      <c r="F55" s="476"/>
    </row>
    <row r="56" spans="1:6" s="19" customFormat="1" ht="15" customHeight="1" x14ac:dyDescent="0.3">
      <c r="A56" s="256"/>
      <c r="B56" s="261"/>
      <c r="C56" s="282"/>
      <c r="D56" s="283"/>
      <c r="E56" s="282"/>
      <c r="F56" s="284"/>
    </row>
    <row r="57" spans="1:6" s="19" customFormat="1" ht="15" customHeight="1" x14ac:dyDescent="0.3">
      <c r="A57" s="256" t="s">
        <v>51</v>
      </c>
      <c r="B57" s="261" t="s">
        <v>618</v>
      </c>
      <c r="C57" s="282"/>
      <c r="D57" s="283"/>
      <c r="E57" s="282"/>
      <c r="F57" s="284"/>
    </row>
    <row r="58" spans="1:6" s="19" customFormat="1" ht="24.9" customHeight="1" x14ac:dyDescent="0.3">
      <c r="A58" s="303" t="s">
        <v>81</v>
      </c>
      <c r="B58" s="293" t="s">
        <v>619</v>
      </c>
      <c r="C58" s="305" t="s">
        <v>18</v>
      </c>
      <c r="D58" s="368">
        <v>2</v>
      </c>
      <c r="E58" s="369"/>
      <c r="F58" s="296"/>
    </row>
    <row r="59" spans="1:6" s="19" customFormat="1" ht="24.9" customHeight="1" x14ac:dyDescent="0.3">
      <c r="A59" s="262" t="s">
        <v>52</v>
      </c>
      <c r="B59" s="293" t="s">
        <v>620</v>
      </c>
      <c r="C59" s="257" t="s">
        <v>18</v>
      </c>
      <c r="D59" s="294">
        <v>1</v>
      </c>
      <c r="E59" s="295"/>
      <c r="F59" s="296"/>
    </row>
    <row r="60" spans="1:6" s="19" customFormat="1" ht="24.9" customHeight="1" x14ac:dyDescent="0.3">
      <c r="A60" s="262" t="s">
        <v>440</v>
      </c>
      <c r="B60" s="293" t="s">
        <v>621</v>
      </c>
      <c r="C60" s="257" t="s">
        <v>18</v>
      </c>
      <c r="D60" s="294">
        <v>2</v>
      </c>
      <c r="E60" s="295"/>
      <c r="F60" s="296"/>
    </row>
    <row r="61" spans="1:6" s="19" customFormat="1" ht="15" customHeight="1" thickBot="1" x14ac:dyDescent="0.35">
      <c r="A61" s="289"/>
      <c r="B61" s="290"/>
      <c r="C61" s="291"/>
      <c r="D61" s="290"/>
      <c r="E61" s="291"/>
      <c r="F61" s="297"/>
    </row>
    <row r="62" spans="1:6" s="19" customFormat="1" ht="15" customHeight="1" thickBot="1" x14ac:dyDescent="0.35">
      <c r="A62" s="849" t="s">
        <v>45</v>
      </c>
      <c r="B62" s="850"/>
      <c r="C62" s="850"/>
      <c r="D62" s="850"/>
      <c r="E62" s="851"/>
      <c r="F62" s="298"/>
    </row>
    <row r="63" spans="1:6" s="19" customFormat="1" ht="15" customHeight="1" x14ac:dyDescent="0.3">
      <c r="A63" s="279"/>
      <c r="B63" s="280"/>
      <c r="C63" s="281"/>
      <c r="D63" s="299"/>
      <c r="E63" s="281"/>
      <c r="F63" s="240"/>
    </row>
    <row r="64" spans="1:6" s="504" customFormat="1" ht="15" customHeight="1" x14ac:dyDescent="0.3">
      <c r="A64" s="58" t="s">
        <v>183</v>
      </c>
      <c r="B64" s="526" t="s">
        <v>617</v>
      </c>
      <c r="C64" s="60"/>
      <c r="D64" s="394"/>
      <c r="E64" s="80"/>
      <c r="F64" s="476"/>
    </row>
    <row r="65" spans="1:6" s="19" customFormat="1" ht="15" customHeight="1" x14ac:dyDescent="0.3">
      <c r="A65" s="262"/>
      <c r="B65" s="261"/>
      <c r="C65" s="257"/>
      <c r="D65" s="264"/>
      <c r="E65" s="259"/>
      <c r="F65" s="260"/>
    </row>
    <row r="66" spans="1:6" s="19" customFormat="1" ht="15" customHeight="1" x14ac:dyDescent="0.3">
      <c r="A66" s="256" t="s">
        <v>16</v>
      </c>
      <c r="B66" s="300" t="s">
        <v>622</v>
      </c>
      <c r="C66" s="257"/>
      <c r="D66" s="264"/>
      <c r="E66" s="259"/>
      <c r="F66" s="260"/>
    </row>
    <row r="67" spans="1:6" s="19" customFormat="1" ht="35.1" customHeight="1" x14ac:dyDescent="0.3">
      <c r="A67" s="262" t="s">
        <v>17</v>
      </c>
      <c r="B67" s="301" t="s">
        <v>441</v>
      </c>
      <c r="C67" s="257" t="s">
        <v>54</v>
      </c>
      <c r="D67" s="302">
        <v>1</v>
      </c>
      <c r="E67" s="287"/>
      <c r="F67" s="296"/>
    </row>
    <row r="68" spans="1:6" s="19" customFormat="1" ht="15" customHeight="1" x14ac:dyDescent="0.3">
      <c r="A68" s="256" t="s">
        <v>79</v>
      </c>
      <c r="B68" s="261" t="s">
        <v>623</v>
      </c>
      <c r="C68" s="257"/>
      <c r="D68" s="264"/>
      <c r="E68" s="259"/>
      <c r="F68" s="296"/>
    </row>
    <row r="69" spans="1:6" s="19" customFormat="1" ht="24.9" customHeight="1" x14ac:dyDescent="0.3">
      <c r="A69" s="303" t="s">
        <v>80</v>
      </c>
      <c r="B69" s="304" t="s">
        <v>624</v>
      </c>
      <c r="C69" s="305" t="s">
        <v>18</v>
      </c>
      <c r="D69" s="306">
        <v>2</v>
      </c>
      <c r="E69" s="307"/>
      <c r="F69" s="296"/>
    </row>
    <row r="70" spans="1:6" s="19" customFormat="1" ht="39.9" customHeight="1" x14ac:dyDescent="0.3">
      <c r="A70" s="303" t="s">
        <v>442</v>
      </c>
      <c r="B70" s="293" t="s">
        <v>625</v>
      </c>
      <c r="C70" s="275" t="s">
        <v>8</v>
      </c>
      <c r="D70" s="308">
        <f>2*2.59*10.06+6.06*4+4*2.39-(2*0.9*2.1+0.8*2.1+2*1.2*1.2)</f>
        <v>77.570799999999991</v>
      </c>
      <c r="E70" s="309"/>
      <c r="F70" s="296"/>
    </row>
    <row r="71" spans="1:6" s="19" customFormat="1" ht="15" customHeight="1" thickBot="1" x14ac:dyDescent="0.35">
      <c r="A71" s="272"/>
      <c r="B71" s="310"/>
      <c r="C71" s="275"/>
      <c r="D71" s="311"/>
      <c r="E71" s="277"/>
      <c r="F71" s="278"/>
    </row>
    <row r="72" spans="1:6" s="19" customFormat="1" ht="15" customHeight="1" thickBot="1" x14ac:dyDescent="0.35">
      <c r="A72" s="849" t="s">
        <v>443</v>
      </c>
      <c r="B72" s="850"/>
      <c r="C72" s="850"/>
      <c r="D72" s="850"/>
      <c r="E72" s="851"/>
      <c r="F72" s="251"/>
    </row>
    <row r="73" spans="1:6" s="19" customFormat="1" ht="15" customHeight="1" x14ac:dyDescent="0.3">
      <c r="A73" s="312"/>
      <c r="B73" s="313"/>
      <c r="C73" s="313"/>
      <c r="D73" s="313"/>
      <c r="E73" s="313"/>
      <c r="F73" s="240"/>
    </row>
    <row r="74" spans="1:6" s="504" customFormat="1" ht="15" customHeight="1" x14ac:dyDescent="0.3">
      <c r="A74" s="58" t="s">
        <v>226</v>
      </c>
      <c r="B74" s="526" t="s">
        <v>627</v>
      </c>
      <c r="C74" s="60"/>
      <c r="D74" s="394"/>
      <c r="E74" s="80"/>
      <c r="F74" s="476"/>
    </row>
    <row r="75" spans="1:6" s="19" customFormat="1" ht="15" customHeight="1" x14ac:dyDescent="0.3">
      <c r="A75" s="228"/>
      <c r="B75" s="315"/>
      <c r="C75" s="282"/>
      <c r="D75" s="282"/>
      <c r="E75" s="282"/>
      <c r="F75" s="284"/>
    </row>
    <row r="76" spans="1:6" s="19" customFormat="1" ht="15" customHeight="1" x14ac:dyDescent="0.3">
      <c r="A76" s="314" t="s">
        <v>44</v>
      </c>
      <c r="B76" s="315" t="s">
        <v>655</v>
      </c>
      <c r="C76" s="229"/>
      <c r="D76" s="229"/>
      <c r="E76" s="229"/>
      <c r="F76" s="546"/>
    </row>
    <row r="77" spans="1:6" s="19" customFormat="1" ht="15" customHeight="1" x14ac:dyDescent="0.3">
      <c r="A77" s="316" t="s">
        <v>75</v>
      </c>
      <c r="B77" s="317" t="s">
        <v>626</v>
      </c>
      <c r="C77" s="257" t="s">
        <v>15</v>
      </c>
      <c r="D77" s="318">
        <f>4*4*1.1</f>
        <v>17.600000000000001</v>
      </c>
      <c r="E77" s="265"/>
      <c r="F77" s="248"/>
    </row>
    <row r="78" spans="1:6" s="19" customFormat="1" ht="15" customHeight="1" thickBot="1" x14ac:dyDescent="0.35">
      <c r="A78" s="320"/>
      <c r="B78" s="321"/>
      <c r="C78" s="291"/>
      <c r="D78" s="291"/>
      <c r="E78" s="291"/>
      <c r="F78" s="244"/>
    </row>
    <row r="79" spans="1:6" s="19" customFormat="1" ht="15" customHeight="1" thickBot="1" x14ac:dyDescent="0.35">
      <c r="A79" s="852" t="s">
        <v>444</v>
      </c>
      <c r="B79" s="853"/>
      <c r="C79" s="853"/>
      <c r="D79" s="853"/>
      <c r="E79" s="854"/>
      <c r="F79" s="251"/>
    </row>
    <row r="80" spans="1:6" s="19" customFormat="1" ht="15" customHeight="1" x14ac:dyDescent="0.3">
      <c r="A80" s="322"/>
      <c r="B80" s="323"/>
      <c r="C80" s="313"/>
      <c r="D80" s="313"/>
      <c r="E80" s="313"/>
      <c r="F80" s="324"/>
    </row>
    <row r="81" spans="1:6" s="19" customFormat="1" ht="15" customHeight="1" x14ac:dyDescent="0.3">
      <c r="A81" s="570" t="s">
        <v>249</v>
      </c>
      <c r="B81" s="571" t="s">
        <v>645</v>
      </c>
      <c r="C81" s="257"/>
      <c r="D81" s="258"/>
      <c r="E81" s="259"/>
      <c r="F81" s="325"/>
    </row>
    <row r="82" spans="1:6" s="19" customFormat="1" ht="15" customHeight="1" x14ac:dyDescent="0.3">
      <c r="A82" s="256"/>
      <c r="B82" s="360"/>
      <c r="C82" s="257"/>
      <c r="D82" s="258"/>
      <c r="E82" s="259"/>
      <c r="F82" s="325"/>
    </row>
    <row r="83" spans="1:6" s="19" customFormat="1" ht="15" customHeight="1" x14ac:dyDescent="0.3">
      <c r="A83" s="256" t="s">
        <v>26</v>
      </c>
      <c r="B83" s="261" t="s">
        <v>251</v>
      </c>
      <c r="C83" s="229"/>
      <c r="D83" s="229"/>
      <c r="E83" s="229"/>
      <c r="F83" s="546"/>
    </row>
    <row r="84" spans="1:6" s="19" customFormat="1" ht="39.9" customHeight="1" x14ac:dyDescent="0.3">
      <c r="A84" s="262" t="s">
        <v>42</v>
      </c>
      <c r="B84" s="293" t="s">
        <v>445</v>
      </c>
      <c r="C84" s="257" t="s">
        <v>15</v>
      </c>
      <c r="D84" s="302">
        <v>10</v>
      </c>
      <c r="E84" s="287"/>
      <c r="F84" s="296"/>
    </row>
    <row r="85" spans="1:6" s="19" customFormat="1" ht="24.9" customHeight="1" x14ac:dyDescent="0.3">
      <c r="A85" s="262" t="s">
        <v>266</v>
      </c>
      <c r="B85" s="293" t="s">
        <v>446</v>
      </c>
      <c r="C85" s="305" t="s">
        <v>18</v>
      </c>
      <c r="D85" s="306">
        <v>1</v>
      </c>
      <c r="E85" s="307"/>
      <c r="F85" s="296"/>
    </row>
    <row r="86" spans="1:6" s="19" customFormat="1" ht="15" customHeight="1" x14ac:dyDescent="0.3">
      <c r="A86" s="256" t="s">
        <v>27</v>
      </c>
      <c r="B86" s="261" t="s">
        <v>263</v>
      </c>
      <c r="C86" s="257"/>
      <c r="D86" s="326"/>
      <c r="E86" s="259"/>
      <c r="F86" s="296"/>
    </row>
    <row r="87" spans="1:6" s="19" customFormat="1" ht="24.9" customHeight="1" x14ac:dyDescent="0.3">
      <c r="A87" s="262"/>
      <c r="B87" s="327" t="s">
        <v>447</v>
      </c>
      <c r="C87" s="257"/>
      <c r="D87" s="302"/>
      <c r="E87" s="287"/>
      <c r="F87" s="296"/>
    </row>
    <row r="88" spans="1:6" s="19" customFormat="1" ht="24.9" customHeight="1" x14ac:dyDescent="0.3">
      <c r="A88" s="262" t="s">
        <v>71</v>
      </c>
      <c r="B88" s="293" t="s">
        <v>448</v>
      </c>
      <c r="C88" s="305" t="s">
        <v>18</v>
      </c>
      <c r="D88" s="306">
        <v>2</v>
      </c>
      <c r="E88" s="307"/>
      <c r="F88" s="296"/>
    </row>
    <row r="89" spans="1:6" s="19" customFormat="1" ht="24.9" customHeight="1" x14ac:dyDescent="0.3">
      <c r="A89" s="262" t="s">
        <v>72</v>
      </c>
      <c r="B89" s="293" t="s">
        <v>449</v>
      </c>
      <c r="C89" s="257" t="s">
        <v>54</v>
      </c>
      <c r="D89" s="302">
        <v>2</v>
      </c>
      <c r="E89" s="287"/>
      <c r="F89" s="296"/>
    </row>
    <row r="90" spans="1:6" s="19" customFormat="1" ht="15" customHeight="1" x14ac:dyDescent="0.3">
      <c r="A90" s="262" t="s">
        <v>73</v>
      </c>
      <c r="B90" s="285" t="s">
        <v>450</v>
      </c>
      <c r="C90" s="257" t="s">
        <v>54</v>
      </c>
      <c r="D90" s="302">
        <v>4</v>
      </c>
      <c r="E90" s="287"/>
      <c r="F90" s="296"/>
    </row>
    <row r="91" spans="1:6" s="19" customFormat="1" ht="15" customHeight="1" x14ac:dyDescent="0.3">
      <c r="A91" s="262" t="s">
        <v>74</v>
      </c>
      <c r="B91" s="285" t="s">
        <v>451</v>
      </c>
      <c r="C91" s="305" t="s">
        <v>54</v>
      </c>
      <c r="D91" s="306">
        <v>1</v>
      </c>
      <c r="E91" s="307"/>
      <c r="F91" s="296"/>
    </row>
    <row r="92" spans="1:6" s="19" customFormat="1" ht="15" customHeight="1" x14ac:dyDescent="0.3">
      <c r="A92" s="256" t="s">
        <v>28</v>
      </c>
      <c r="B92" s="261" t="s">
        <v>646</v>
      </c>
      <c r="C92" s="229"/>
      <c r="D92" s="229"/>
      <c r="E92" s="229"/>
      <c r="F92" s="296"/>
    </row>
    <row r="93" spans="1:6" s="19" customFormat="1" ht="39.9" customHeight="1" x14ac:dyDescent="0.3">
      <c r="A93" s="303" t="s">
        <v>87</v>
      </c>
      <c r="B93" s="293" t="s">
        <v>452</v>
      </c>
      <c r="C93" s="257" t="s">
        <v>54</v>
      </c>
      <c r="D93" s="302">
        <v>1</v>
      </c>
      <c r="E93" s="287"/>
      <c r="F93" s="296"/>
    </row>
    <row r="94" spans="1:6" s="19" customFormat="1" ht="15" customHeight="1" x14ac:dyDescent="0.3">
      <c r="A94" s="256" t="s">
        <v>29</v>
      </c>
      <c r="B94" s="261" t="s">
        <v>647</v>
      </c>
      <c r="C94" s="257"/>
      <c r="D94" s="264"/>
      <c r="E94" s="259"/>
      <c r="F94" s="296"/>
    </row>
    <row r="95" spans="1:6" s="19" customFormat="1" ht="15" customHeight="1" x14ac:dyDescent="0.3">
      <c r="A95" s="262"/>
      <c r="B95" s="328" t="s">
        <v>453</v>
      </c>
      <c r="C95" s="229"/>
      <c r="D95" s="229"/>
      <c r="E95" s="229"/>
      <c r="F95" s="296"/>
    </row>
    <row r="96" spans="1:6" s="19" customFormat="1" ht="15" customHeight="1" x14ac:dyDescent="0.3">
      <c r="A96" s="262" t="s">
        <v>91</v>
      </c>
      <c r="B96" s="329" t="s">
        <v>649</v>
      </c>
      <c r="C96" s="257" t="s">
        <v>18</v>
      </c>
      <c r="D96" s="302">
        <v>4</v>
      </c>
      <c r="E96" s="265"/>
      <c r="F96" s="296"/>
    </row>
    <row r="97" spans="1:6" s="19" customFormat="1" ht="15" customHeight="1" x14ac:dyDescent="0.3">
      <c r="A97" s="262" t="s">
        <v>92</v>
      </c>
      <c r="B97" s="329" t="s">
        <v>628</v>
      </c>
      <c r="C97" s="257" t="s">
        <v>18</v>
      </c>
      <c r="D97" s="302">
        <v>6</v>
      </c>
      <c r="E97" s="265"/>
      <c r="F97" s="296"/>
    </row>
    <row r="98" spans="1:6" s="19" customFormat="1" ht="15" customHeight="1" x14ac:dyDescent="0.3">
      <c r="A98" s="256" t="s">
        <v>454</v>
      </c>
      <c r="B98" s="261" t="s">
        <v>268</v>
      </c>
      <c r="C98" s="257"/>
      <c r="D98" s="302"/>
      <c r="E98" s="265"/>
      <c r="F98" s="296"/>
    </row>
    <row r="99" spans="1:6" s="19" customFormat="1" ht="15" customHeight="1" x14ac:dyDescent="0.3">
      <c r="A99" s="262" t="s">
        <v>455</v>
      </c>
      <c r="B99" s="330" t="s">
        <v>648</v>
      </c>
      <c r="C99" s="257" t="s">
        <v>18</v>
      </c>
      <c r="D99" s="302">
        <v>4</v>
      </c>
      <c r="E99" s="265"/>
      <c r="F99" s="296"/>
    </row>
    <row r="100" spans="1:6" s="19" customFormat="1" ht="15" customHeight="1" x14ac:dyDescent="0.3">
      <c r="A100" s="262" t="s">
        <v>456</v>
      </c>
      <c r="B100" s="330" t="s">
        <v>457</v>
      </c>
      <c r="C100" s="257" t="s">
        <v>18</v>
      </c>
      <c r="D100" s="302">
        <v>2</v>
      </c>
      <c r="E100" s="265"/>
      <c r="F100" s="296"/>
    </row>
    <row r="101" spans="1:6" s="19" customFormat="1" ht="15" customHeight="1" x14ac:dyDescent="0.3">
      <c r="A101" s="262" t="s">
        <v>458</v>
      </c>
      <c r="B101" s="330" t="s">
        <v>629</v>
      </c>
      <c r="C101" s="257" t="s">
        <v>18</v>
      </c>
      <c r="D101" s="302">
        <v>2</v>
      </c>
      <c r="E101" s="265"/>
      <c r="F101" s="296"/>
    </row>
    <row r="102" spans="1:6" s="19" customFormat="1" ht="15" customHeight="1" x14ac:dyDescent="0.3">
      <c r="A102" s="262" t="s">
        <v>459</v>
      </c>
      <c r="B102" s="285" t="s">
        <v>460</v>
      </c>
      <c r="C102" s="257" t="s">
        <v>18</v>
      </c>
      <c r="D102" s="264">
        <v>6</v>
      </c>
      <c r="E102" s="265"/>
      <c r="F102" s="296"/>
    </row>
    <row r="103" spans="1:6" s="19" customFormat="1" ht="15" customHeight="1" thickBot="1" x14ac:dyDescent="0.35">
      <c r="A103" s="272"/>
      <c r="B103" s="360"/>
      <c r="C103" s="331"/>
      <c r="D103" s="331"/>
      <c r="E103" s="331"/>
      <c r="F103" s="547"/>
    </row>
    <row r="104" spans="1:6" s="19" customFormat="1" ht="15" customHeight="1" thickBot="1" x14ac:dyDescent="0.35">
      <c r="A104" s="849" t="s">
        <v>30</v>
      </c>
      <c r="B104" s="850"/>
      <c r="C104" s="850"/>
      <c r="D104" s="850"/>
      <c r="E104" s="851"/>
      <c r="F104" s="251"/>
    </row>
    <row r="105" spans="1:6" s="19" customFormat="1" ht="15" customHeight="1" x14ac:dyDescent="0.3">
      <c r="A105" s="314"/>
      <c r="B105" s="281"/>
      <c r="C105" s="283"/>
      <c r="D105" s="282"/>
      <c r="E105" s="332"/>
      <c r="F105" s="284"/>
    </row>
    <row r="106" spans="1:6" s="479" customFormat="1" ht="15" customHeight="1" x14ac:dyDescent="0.3">
      <c r="A106" s="58" t="s">
        <v>292</v>
      </c>
      <c r="B106" s="99" t="s">
        <v>293</v>
      </c>
      <c r="C106" s="4"/>
      <c r="D106" s="24"/>
      <c r="E106" s="174"/>
      <c r="F106" s="98"/>
    </row>
    <row r="107" spans="1:6" s="479" customFormat="1" ht="15" customHeight="1" x14ac:dyDescent="0.3">
      <c r="A107" s="65"/>
      <c r="B107" s="113"/>
      <c r="C107" s="60"/>
      <c r="D107" s="218"/>
      <c r="E107" s="80"/>
      <c r="F107" s="119"/>
    </row>
    <row r="108" spans="1:6" s="479" customFormat="1" ht="15" customHeight="1" x14ac:dyDescent="0.3">
      <c r="A108" s="64" t="s">
        <v>294</v>
      </c>
      <c r="B108" s="111" t="s">
        <v>295</v>
      </c>
      <c r="C108" s="60"/>
      <c r="D108" s="131"/>
      <c r="E108" s="80"/>
      <c r="F108" s="119"/>
    </row>
    <row r="109" spans="1:6" s="479" customFormat="1" ht="15" customHeight="1" x14ac:dyDescent="0.3">
      <c r="A109" s="64" t="s">
        <v>296</v>
      </c>
      <c r="B109" s="127" t="s">
        <v>297</v>
      </c>
      <c r="C109" s="60"/>
      <c r="D109" s="218"/>
      <c r="E109" s="80"/>
      <c r="F109" s="119"/>
    </row>
    <row r="110" spans="1:6" s="479" customFormat="1" ht="15" customHeight="1" x14ac:dyDescent="0.3">
      <c r="A110" s="65" t="s">
        <v>298</v>
      </c>
      <c r="B110" s="113" t="s">
        <v>301</v>
      </c>
      <c r="C110" s="60" t="s">
        <v>18</v>
      </c>
      <c r="D110" s="131">
        <v>1</v>
      </c>
      <c r="E110" s="393"/>
      <c r="F110" s="591"/>
    </row>
    <row r="111" spans="1:6" s="479" customFormat="1" ht="15" customHeight="1" x14ac:dyDescent="0.3">
      <c r="A111" s="65" t="s">
        <v>299</v>
      </c>
      <c r="B111" s="113" t="s">
        <v>302</v>
      </c>
      <c r="C111" s="60" t="s">
        <v>18</v>
      </c>
      <c r="D111" s="131">
        <v>1</v>
      </c>
      <c r="E111" s="393"/>
      <c r="F111" s="591"/>
    </row>
    <row r="112" spans="1:6" s="479" customFormat="1" ht="15" customHeight="1" x14ac:dyDescent="0.3">
      <c r="A112" s="64" t="s">
        <v>305</v>
      </c>
      <c r="B112" s="127" t="s">
        <v>300</v>
      </c>
      <c r="C112" s="60"/>
      <c r="D112" s="131"/>
      <c r="E112" s="393"/>
      <c r="F112" s="591"/>
    </row>
    <row r="113" spans="1:6" s="479" customFormat="1" ht="15" customHeight="1" x14ac:dyDescent="0.3">
      <c r="A113" s="65" t="s">
        <v>306</v>
      </c>
      <c r="B113" s="113" t="s">
        <v>303</v>
      </c>
      <c r="C113" s="60" t="s">
        <v>18</v>
      </c>
      <c r="D113" s="131">
        <v>1</v>
      </c>
      <c r="E113" s="393"/>
      <c r="F113" s="591"/>
    </row>
    <row r="114" spans="1:6" s="479" customFormat="1" ht="15" customHeight="1" x14ac:dyDescent="0.3">
      <c r="A114" s="65" t="s">
        <v>307</v>
      </c>
      <c r="B114" s="113" t="s">
        <v>304</v>
      </c>
      <c r="C114" s="60" t="s">
        <v>18</v>
      </c>
      <c r="D114" s="131">
        <v>1</v>
      </c>
      <c r="E114" s="393"/>
      <c r="F114" s="591"/>
    </row>
    <row r="115" spans="1:6" s="479" customFormat="1" ht="15" customHeight="1" thickBot="1" x14ac:dyDescent="0.35">
      <c r="A115" s="65"/>
      <c r="B115" s="113"/>
      <c r="C115" s="60"/>
      <c r="D115" s="218"/>
      <c r="E115" s="80"/>
      <c r="F115" s="119"/>
    </row>
    <row r="116" spans="1:6" s="479" customFormat="1" ht="15" customHeight="1" thickBot="1" x14ac:dyDescent="0.35">
      <c r="A116" s="767" t="s">
        <v>308</v>
      </c>
      <c r="B116" s="768"/>
      <c r="C116" s="768"/>
      <c r="D116" s="768"/>
      <c r="E116" s="768"/>
      <c r="F116" s="586"/>
    </row>
    <row r="117" spans="1:6" s="479" customFormat="1" ht="15" customHeight="1" x14ac:dyDescent="0.3">
      <c r="A117" s="528"/>
      <c r="B117" s="141"/>
      <c r="C117" s="529"/>
      <c r="D117" s="141"/>
      <c r="E117" s="555"/>
      <c r="F117" s="530"/>
    </row>
    <row r="118" spans="1:6" s="479" customFormat="1" ht="15" customHeight="1" x14ac:dyDescent="0.3">
      <c r="A118" s="58" t="s">
        <v>327</v>
      </c>
      <c r="B118" s="99" t="s">
        <v>328</v>
      </c>
      <c r="C118" s="4"/>
      <c r="D118" s="24"/>
      <c r="E118" s="223"/>
      <c r="F118" s="617"/>
    </row>
    <row r="119" spans="1:6" s="479" customFormat="1" ht="15" customHeight="1" x14ac:dyDescent="0.3">
      <c r="A119" s="65"/>
      <c r="B119" s="113"/>
      <c r="C119" s="60"/>
      <c r="D119" s="218"/>
      <c r="E119" s="80"/>
      <c r="F119" s="119"/>
    </row>
    <row r="120" spans="1:6" s="479" customFormat="1" ht="15" customHeight="1" x14ac:dyDescent="0.3">
      <c r="A120" s="64" t="s">
        <v>93</v>
      </c>
      <c r="B120" s="111" t="s">
        <v>329</v>
      </c>
      <c r="C120" s="60"/>
      <c r="D120" s="218"/>
      <c r="E120" s="80"/>
      <c r="F120" s="119"/>
    </row>
    <row r="121" spans="1:6" s="479" customFormat="1" ht="15" customHeight="1" x14ac:dyDescent="0.3">
      <c r="A121" s="64" t="s">
        <v>94</v>
      </c>
      <c r="B121" s="127" t="s">
        <v>330</v>
      </c>
      <c r="C121" s="60"/>
      <c r="D121" s="218"/>
      <c r="E121" s="80"/>
      <c r="F121" s="119"/>
    </row>
    <row r="122" spans="1:6" s="479" customFormat="1" ht="15" customHeight="1" x14ac:dyDescent="0.3">
      <c r="A122" s="65" t="s">
        <v>332</v>
      </c>
      <c r="B122" s="113" t="s">
        <v>331</v>
      </c>
      <c r="C122" s="60" t="s">
        <v>18</v>
      </c>
      <c r="D122" s="131">
        <v>2</v>
      </c>
      <c r="E122" s="393"/>
      <c r="F122" s="591"/>
    </row>
    <row r="123" spans="1:6" s="479" customFormat="1" ht="15" customHeight="1" thickBot="1" x14ac:dyDescent="0.35">
      <c r="A123" s="65"/>
      <c r="B123" s="113"/>
      <c r="C123" s="60"/>
      <c r="D123" s="218"/>
      <c r="E123" s="80"/>
      <c r="F123" s="119"/>
    </row>
    <row r="124" spans="1:6" s="479" customFormat="1" ht="15" customHeight="1" thickBot="1" x14ac:dyDescent="0.35">
      <c r="A124" s="767" t="s">
        <v>333</v>
      </c>
      <c r="B124" s="768"/>
      <c r="C124" s="768"/>
      <c r="D124" s="768"/>
      <c r="E124" s="768"/>
      <c r="F124" s="586"/>
    </row>
    <row r="125" spans="1:6" s="19" customFormat="1" ht="15" customHeight="1" x14ac:dyDescent="0.3">
      <c r="A125" s="228"/>
      <c r="B125" s="333"/>
      <c r="C125" s="283"/>
      <c r="D125" s="282"/>
      <c r="E125" s="332"/>
      <c r="F125" s="284"/>
    </row>
    <row r="126" spans="1:6" s="479" customFormat="1" ht="15" customHeight="1" x14ac:dyDescent="0.3">
      <c r="A126" s="58" t="s">
        <v>630</v>
      </c>
      <c r="B126" s="99" t="s">
        <v>631</v>
      </c>
      <c r="C126" s="4"/>
      <c r="D126" s="24"/>
      <c r="E126" s="174"/>
      <c r="F126" s="98"/>
    </row>
    <row r="127" spans="1:6" s="19" customFormat="1" ht="15" customHeight="1" x14ac:dyDescent="0.3">
      <c r="A127" s="256"/>
      <c r="B127" s="328"/>
      <c r="C127" s="257"/>
      <c r="D127" s="337"/>
      <c r="E127" s="259"/>
      <c r="F127" s="548"/>
    </row>
    <row r="128" spans="1:6" s="19" customFormat="1" ht="15" customHeight="1" x14ac:dyDescent="0.3">
      <c r="A128" s="256" t="s">
        <v>461</v>
      </c>
      <c r="B128" s="261" t="s">
        <v>653</v>
      </c>
      <c r="C128" s="229"/>
      <c r="D128" s="229"/>
      <c r="E128" s="229"/>
      <c r="F128" s="546"/>
    </row>
    <row r="129" spans="1:6" s="83" customFormat="1" ht="24.9" customHeight="1" x14ac:dyDescent="0.3">
      <c r="A129" s="303" t="s">
        <v>463</v>
      </c>
      <c r="B129" s="304" t="s">
        <v>464</v>
      </c>
      <c r="C129" s="305" t="s">
        <v>8</v>
      </c>
      <c r="D129" s="306">
        <v>22.52</v>
      </c>
      <c r="E129" s="307"/>
      <c r="F129" s="334"/>
    </row>
    <row r="130" spans="1:6" s="19" customFormat="1" ht="15" customHeight="1" thickBot="1" x14ac:dyDescent="0.35">
      <c r="A130" s="320"/>
      <c r="B130" s="338"/>
      <c r="C130" s="339"/>
      <c r="D130" s="340"/>
      <c r="E130" s="341"/>
      <c r="F130" s="342"/>
    </row>
    <row r="131" spans="1:6" s="19" customFormat="1" ht="15" customHeight="1" thickBot="1" x14ac:dyDescent="0.35">
      <c r="A131" s="855" t="s">
        <v>465</v>
      </c>
      <c r="B131" s="856"/>
      <c r="C131" s="856"/>
      <c r="D131" s="856"/>
      <c r="E131" s="856"/>
      <c r="F131" s="651"/>
    </row>
    <row r="132" spans="1:6" s="19" customFormat="1" ht="15" customHeight="1" x14ac:dyDescent="0.3">
      <c r="A132" s="228"/>
      <c r="B132" s="281"/>
      <c r="C132" s="257"/>
      <c r="D132" s="258"/>
      <c r="E132" s="259"/>
      <c r="F132" s="288"/>
    </row>
    <row r="133" spans="1:6" s="19" customFormat="1" ht="15" customHeight="1" x14ac:dyDescent="0.3">
      <c r="A133" s="561" t="s">
        <v>372</v>
      </c>
      <c r="B133" s="562" t="s">
        <v>640</v>
      </c>
      <c r="C133" s="257"/>
      <c r="D133" s="337"/>
      <c r="E133" s="259"/>
      <c r="F133" s="260"/>
    </row>
    <row r="134" spans="1:6" s="19" customFormat="1" ht="15" customHeight="1" x14ac:dyDescent="0.3">
      <c r="A134" s="314"/>
      <c r="B134" s="315"/>
      <c r="C134" s="350"/>
      <c r="D134" s="351"/>
      <c r="E134" s="259"/>
      <c r="F134" s="260"/>
    </row>
    <row r="135" spans="1:6" s="19" customFormat="1" ht="15" customHeight="1" x14ac:dyDescent="0.3">
      <c r="A135" s="314" t="s">
        <v>35</v>
      </c>
      <c r="B135" s="315" t="s">
        <v>654</v>
      </c>
      <c r="C135" s="229"/>
      <c r="D135" s="229"/>
      <c r="E135" s="259"/>
      <c r="F135" s="260"/>
    </row>
    <row r="136" spans="1:6" s="83" customFormat="1" ht="24.9" customHeight="1" x14ac:dyDescent="0.3">
      <c r="A136" s="354" t="s">
        <v>56</v>
      </c>
      <c r="B136" s="353" t="s">
        <v>644</v>
      </c>
      <c r="C136" s="559" t="s">
        <v>8</v>
      </c>
      <c r="D136" s="569">
        <f>2*1.2*1.2*2+2*1*2.2 +D159</f>
        <v>26.653400000000001</v>
      </c>
      <c r="E136" s="307"/>
      <c r="F136" s="296"/>
    </row>
    <row r="137" spans="1:6" s="83" customFormat="1" ht="39.9" customHeight="1" x14ac:dyDescent="0.3">
      <c r="A137" s="354" t="s">
        <v>57</v>
      </c>
      <c r="B137" s="353" t="s">
        <v>467</v>
      </c>
      <c r="C137" s="305" t="s">
        <v>8</v>
      </c>
      <c r="D137" s="306">
        <f>+D70*2+D136</f>
        <v>181.79499999999999</v>
      </c>
      <c r="E137" s="307"/>
      <c r="F137" s="296"/>
    </row>
    <row r="138" spans="1:6" s="83" customFormat="1" ht="39.9" customHeight="1" x14ac:dyDescent="0.3">
      <c r="A138" s="354" t="s">
        <v>58</v>
      </c>
      <c r="B138" s="353" t="s">
        <v>643</v>
      </c>
      <c r="C138" s="305" t="s">
        <v>8</v>
      </c>
      <c r="D138" s="306">
        <f>24.24*4</f>
        <v>96.96</v>
      </c>
      <c r="E138" s="307"/>
      <c r="F138" s="296"/>
    </row>
    <row r="139" spans="1:6" s="19" customFormat="1" ht="15" customHeight="1" x14ac:dyDescent="0.3">
      <c r="A139" s="316" t="s">
        <v>468</v>
      </c>
      <c r="B139" s="353" t="s">
        <v>688</v>
      </c>
      <c r="C139" s="305" t="s">
        <v>8</v>
      </c>
      <c r="D139" s="306">
        <f>2*0.9*2.1*2-(2*0.8*1.85*2)+2*0.8*2.1-(2*0.7*1.85)*1.1</f>
        <v>2.1509999999999998</v>
      </c>
      <c r="E139" s="307"/>
      <c r="F139" s="296"/>
    </row>
    <row r="140" spans="1:6" s="19" customFormat="1" ht="15" customHeight="1" x14ac:dyDescent="0.3">
      <c r="A140" s="314" t="s">
        <v>36</v>
      </c>
      <c r="B140" s="315" t="s">
        <v>232</v>
      </c>
      <c r="C140" s="257"/>
      <c r="D140" s="264"/>
      <c r="E140" s="287"/>
      <c r="F140" s="296"/>
    </row>
    <row r="141" spans="1:6" s="19" customFormat="1" ht="24.9" customHeight="1" x14ac:dyDescent="0.3">
      <c r="A141" s="354" t="s">
        <v>59</v>
      </c>
      <c r="B141" s="353" t="s">
        <v>470</v>
      </c>
      <c r="C141" s="305" t="s">
        <v>54</v>
      </c>
      <c r="D141" s="306">
        <v>1</v>
      </c>
      <c r="E141" s="307"/>
      <c r="F141" s="296"/>
    </row>
    <row r="142" spans="1:6" s="19" customFormat="1" ht="15" customHeight="1" thickBot="1" x14ac:dyDescent="0.35">
      <c r="A142" s="335"/>
      <c r="B142" s="331"/>
      <c r="C142" s="331"/>
      <c r="D142" s="331"/>
      <c r="E142" s="349"/>
      <c r="F142" s="278"/>
    </row>
    <row r="143" spans="1:6" s="19" customFormat="1" ht="15" customHeight="1" thickBot="1" x14ac:dyDescent="0.35">
      <c r="A143" s="849" t="s">
        <v>47</v>
      </c>
      <c r="B143" s="850"/>
      <c r="C143" s="850"/>
      <c r="D143" s="850"/>
      <c r="E143" s="851"/>
      <c r="F143" s="298"/>
    </row>
    <row r="144" spans="1:6" s="19" customFormat="1" ht="15" customHeight="1" x14ac:dyDescent="0.3">
      <c r="A144" s="556"/>
      <c r="B144" s="564"/>
      <c r="C144" s="564"/>
      <c r="D144" s="564"/>
      <c r="E144" s="564"/>
      <c r="F144" s="568"/>
    </row>
    <row r="145" spans="1:6" s="479" customFormat="1" ht="15" customHeight="1" x14ac:dyDescent="0.3">
      <c r="A145" s="563" t="s">
        <v>396</v>
      </c>
      <c r="B145" s="99" t="s">
        <v>635</v>
      </c>
      <c r="C145" s="4"/>
      <c r="D145" s="24"/>
      <c r="E145" s="223"/>
      <c r="F145" s="480"/>
    </row>
    <row r="146" spans="1:6" s="19" customFormat="1" ht="15" customHeight="1" x14ac:dyDescent="0.3">
      <c r="A146" s="314"/>
      <c r="B146" s="315"/>
      <c r="C146" s="257"/>
      <c r="D146" s="337"/>
      <c r="E146" s="259"/>
      <c r="F146" s="344"/>
    </row>
    <row r="147" spans="1:6" s="19" customFormat="1" ht="15" customHeight="1" x14ac:dyDescent="0.3">
      <c r="A147" s="314" t="s">
        <v>400</v>
      </c>
      <c r="B147" s="315" t="s">
        <v>634</v>
      </c>
      <c r="C147" s="229"/>
      <c r="D147" s="352"/>
      <c r="E147" s="345"/>
      <c r="F147" s="344"/>
    </row>
    <row r="148" spans="1:6" s="83" customFormat="1" ht="39.9" customHeight="1" x14ac:dyDescent="0.3">
      <c r="A148" s="354" t="s">
        <v>401</v>
      </c>
      <c r="B148" s="353" t="s">
        <v>632</v>
      </c>
      <c r="C148" s="305" t="s">
        <v>8</v>
      </c>
      <c r="D148" s="565">
        <v>24.24</v>
      </c>
      <c r="E148" s="369"/>
      <c r="F148" s="652"/>
    </row>
    <row r="149" spans="1:6" s="19" customFormat="1" ht="15" customHeight="1" x14ac:dyDescent="0.3">
      <c r="A149" s="314" t="s">
        <v>638</v>
      </c>
      <c r="B149" s="315" t="s">
        <v>636</v>
      </c>
      <c r="C149" s="229"/>
      <c r="D149" s="352"/>
      <c r="E149" s="295"/>
      <c r="F149" s="652"/>
    </row>
    <row r="150" spans="1:6" s="83" customFormat="1" ht="39.9" customHeight="1" x14ac:dyDescent="0.3">
      <c r="A150" s="557" t="s">
        <v>642</v>
      </c>
      <c r="B150" s="336" t="s">
        <v>637</v>
      </c>
      <c r="C150" s="558" t="s">
        <v>54</v>
      </c>
      <c r="D150" s="624">
        <v>1</v>
      </c>
      <c r="E150" s="650"/>
      <c r="F150" s="652"/>
    </row>
    <row r="151" spans="1:6" s="83" customFormat="1" ht="24.9" customHeight="1" x14ac:dyDescent="0.3">
      <c r="A151" s="557" t="s">
        <v>639</v>
      </c>
      <c r="B151" s="336" t="s">
        <v>641</v>
      </c>
      <c r="C151" s="558" t="s">
        <v>18</v>
      </c>
      <c r="D151" s="566">
        <v>3</v>
      </c>
      <c r="E151" s="650"/>
      <c r="F151" s="652"/>
    </row>
    <row r="152" spans="1:6" s="19" customFormat="1" ht="15" customHeight="1" thickBot="1" x14ac:dyDescent="0.35">
      <c r="A152" s="335"/>
      <c r="B152" s="346"/>
      <c r="C152" s="347"/>
      <c r="D152" s="348"/>
      <c r="E152" s="567"/>
      <c r="F152" s="278"/>
    </row>
    <row r="153" spans="1:6" s="19" customFormat="1" ht="15" customHeight="1" thickBot="1" x14ac:dyDescent="0.35">
      <c r="A153" s="849" t="s">
        <v>633</v>
      </c>
      <c r="B153" s="850"/>
      <c r="C153" s="850"/>
      <c r="D153" s="850"/>
      <c r="E153" s="851"/>
      <c r="F153" s="298"/>
    </row>
    <row r="154" spans="1:6" s="19" customFormat="1" ht="15" customHeight="1" x14ac:dyDescent="0.3">
      <c r="A154" s="644"/>
      <c r="B154" s="313"/>
      <c r="C154" s="313"/>
      <c r="D154" s="313"/>
      <c r="E154" s="313"/>
      <c r="F154" s="645"/>
    </row>
    <row r="155" spans="1:6" s="479" customFormat="1" ht="15" customHeight="1" x14ac:dyDescent="0.3">
      <c r="A155" s="58" t="s">
        <v>405</v>
      </c>
      <c r="B155" s="99" t="s">
        <v>408</v>
      </c>
      <c r="C155" s="4"/>
      <c r="D155" s="24"/>
      <c r="E155" s="223"/>
      <c r="F155" s="480"/>
    </row>
    <row r="156" spans="1:6" s="479" customFormat="1" ht="15" customHeight="1" x14ac:dyDescent="0.3">
      <c r="A156" s="64"/>
      <c r="B156" s="111"/>
      <c r="C156" s="60"/>
      <c r="D156" s="218"/>
      <c r="E156" s="80"/>
      <c r="F156" s="119"/>
    </row>
    <row r="157" spans="1:6" s="479" customFormat="1" ht="15" customHeight="1" x14ac:dyDescent="0.3">
      <c r="A157" s="64" t="s">
        <v>46</v>
      </c>
      <c r="B157" s="111" t="s">
        <v>409</v>
      </c>
      <c r="C157" s="60" t="s">
        <v>6</v>
      </c>
      <c r="D157" s="131"/>
      <c r="E157" s="80"/>
      <c r="F157" s="119"/>
    </row>
    <row r="158" spans="1:6" s="479" customFormat="1" ht="15" customHeight="1" x14ac:dyDescent="0.3">
      <c r="A158" s="64" t="s">
        <v>55</v>
      </c>
      <c r="B158" s="127" t="s">
        <v>538</v>
      </c>
      <c r="C158" s="60"/>
      <c r="D158" s="131"/>
      <c r="E158" s="80"/>
      <c r="F158" s="119"/>
    </row>
    <row r="159" spans="1:6" s="479" customFormat="1" ht="15" customHeight="1" x14ac:dyDescent="0.3">
      <c r="A159" s="66" t="s">
        <v>406</v>
      </c>
      <c r="B159" s="69" t="s">
        <v>433</v>
      </c>
      <c r="C159" s="163" t="s">
        <v>131</v>
      </c>
      <c r="D159" s="70">
        <f>2.1*7.14*1.1</f>
        <v>16.493400000000001</v>
      </c>
      <c r="E159" s="383"/>
      <c r="F159" s="590"/>
    </row>
    <row r="160" spans="1:6" s="479" customFormat="1" ht="15" customHeight="1" thickBot="1" x14ac:dyDescent="0.35">
      <c r="A160" s="68"/>
      <c r="B160" s="132"/>
      <c r="C160" s="142"/>
      <c r="D160" s="221"/>
      <c r="E160" s="222"/>
      <c r="F160" s="143"/>
    </row>
    <row r="161" spans="1:6" s="479" customFormat="1" ht="15" customHeight="1" thickBot="1" x14ac:dyDescent="0.35">
      <c r="A161" s="767" t="s">
        <v>410</v>
      </c>
      <c r="B161" s="768"/>
      <c r="C161" s="768"/>
      <c r="D161" s="768"/>
      <c r="E161" s="768"/>
      <c r="F161" s="586"/>
    </row>
    <row r="162" spans="1:6" s="19" customFormat="1" ht="15" customHeight="1" x14ac:dyDescent="0.3">
      <c r="A162" s="272"/>
      <c r="B162" s="355"/>
      <c r="C162" s="350"/>
      <c r="D162" s="356"/>
      <c r="E162" s="357"/>
      <c r="F162" s="358"/>
    </row>
    <row r="163" spans="1:6" s="19" customFormat="1" ht="24.9" customHeight="1" thickBot="1" x14ac:dyDescent="0.35">
      <c r="A163" s="857" t="s">
        <v>604</v>
      </c>
      <c r="B163" s="858"/>
      <c r="C163" s="858"/>
      <c r="D163" s="859"/>
      <c r="E163" s="860"/>
      <c r="F163" s="861"/>
    </row>
    <row r="164" spans="1:6" s="19" customFormat="1" ht="15" customHeight="1" thickTop="1" x14ac:dyDescent="0.3">
      <c r="A164" s="653"/>
      <c r="B164" s="653"/>
      <c r="C164" s="653"/>
      <c r="D164" s="653"/>
      <c r="E164" s="654"/>
      <c r="F164" s="654"/>
    </row>
    <row r="165" spans="1:6" s="19" customFormat="1" ht="15" customHeight="1" x14ac:dyDescent="0.3">
      <c r="A165" s="653"/>
      <c r="B165" s="653"/>
      <c r="C165" s="653"/>
      <c r="D165" s="653"/>
      <c r="E165" s="654"/>
      <c r="F165" s="654"/>
    </row>
    <row r="166" spans="1:6" s="19" customFormat="1" ht="15" customHeight="1" x14ac:dyDescent="0.3">
      <c r="A166" s="653"/>
      <c r="B166" s="653"/>
      <c r="C166" s="653"/>
      <c r="D166" s="653"/>
      <c r="E166" s="654"/>
      <c r="F166" s="654"/>
    </row>
    <row r="167" spans="1:6" s="19" customFormat="1" ht="15" customHeight="1" thickBot="1" x14ac:dyDescent="0.35"/>
    <row r="168" spans="1:6" s="19" customFormat="1" ht="30" customHeight="1" x14ac:dyDescent="0.3">
      <c r="A168" s="862" t="s">
        <v>651</v>
      </c>
      <c r="B168" s="863"/>
      <c r="C168" s="863"/>
      <c r="D168" s="863"/>
      <c r="E168" s="863"/>
      <c r="F168" s="864"/>
    </row>
    <row r="169" spans="1:6" s="19" customFormat="1" ht="15" customHeight="1" thickBot="1" x14ac:dyDescent="0.35">
      <c r="A169" s="359"/>
      <c r="B169" s="360"/>
      <c r="C169" s="360"/>
      <c r="D169" s="360"/>
      <c r="E169" s="360"/>
      <c r="F169" s="361"/>
    </row>
    <row r="170" spans="1:6" s="19" customFormat="1" ht="24.9" customHeight="1" thickTop="1" thickBot="1" x14ac:dyDescent="0.35">
      <c r="A170" s="362" t="s">
        <v>38</v>
      </c>
      <c r="B170" s="865" t="s">
        <v>39</v>
      </c>
      <c r="C170" s="865"/>
      <c r="D170" s="865"/>
      <c r="E170" s="865" t="s">
        <v>411</v>
      </c>
      <c r="F170" s="866"/>
    </row>
    <row r="171" spans="1:6" s="19" customFormat="1" ht="15" customHeight="1" thickTop="1" x14ac:dyDescent="0.3">
      <c r="A171" s="363"/>
      <c r="B171" s="867"/>
      <c r="C171" s="867"/>
      <c r="D171" s="867"/>
      <c r="E171" s="868"/>
      <c r="F171" s="869"/>
    </row>
    <row r="172" spans="1:6" s="19" customFormat="1" ht="15" customHeight="1" x14ac:dyDescent="0.3">
      <c r="A172" s="364" t="s">
        <v>143</v>
      </c>
      <c r="B172" s="870" t="s">
        <v>95</v>
      </c>
      <c r="C172" s="870"/>
      <c r="D172" s="870"/>
      <c r="E172" s="871"/>
      <c r="F172" s="872"/>
    </row>
    <row r="173" spans="1:6" s="19" customFormat="1" ht="15" customHeight="1" x14ac:dyDescent="0.3">
      <c r="A173" s="365" t="s">
        <v>144</v>
      </c>
      <c r="B173" s="873" t="s">
        <v>100</v>
      </c>
      <c r="C173" s="873"/>
      <c r="D173" s="873"/>
      <c r="E173" s="874"/>
      <c r="F173" s="875"/>
    </row>
    <row r="174" spans="1:6" s="19" customFormat="1" ht="15" customHeight="1" x14ac:dyDescent="0.3">
      <c r="A174" s="366" t="s">
        <v>136</v>
      </c>
      <c r="B174" s="876" t="s">
        <v>103</v>
      </c>
      <c r="C174" s="876"/>
      <c r="D174" s="876"/>
      <c r="E174" s="871"/>
      <c r="F174" s="872"/>
    </row>
    <row r="175" spans="1:6" s="19" customFormat="1" ht="15" customHeight="1" x14ac:dyDescent="0.3">
      <c r="A175" s="366" t="s">
        <v>176</v>
      </c>
      <c r="B175" s="876" t="s">
        <v>177</v>
      </c>
      <c r="C175" s="876"/>
      <c r="D175" s="876"/>
      <c r="E175" s="871"/>
      <c r="F175" s="872"/>
    </row>
    <row r="176" spans="1:6" s="19" customFormat="1" ht="15" customHeight="1" x14ac:dyDescent="0.3">
      <c r="A176" s="366" t="s">
        <v>615</v>
      </c>
      <c r="B176" s="876" t="s">
        <v>650</v>
      </c>
      <c r="C176" s="876"/>
      <c r="D176" s="876"/>
      <c r="E176" s="871"/>
      <c r="F176" s="872"/>
    </row>
    <row r="177" spans="1:6" s="19" customFormat="1" ht="15" customHeight="1" x14ac:dyDescent="0.3">
      <c r="A177" s="366" t="s">
        <v>183</v>
      </c>
      <c r="B177" s="876" t="s">
        <v>184</v>
      </c>
      <c r="C177" s="876"/>
      <c r="D177" s="876"/>
      <c r="E177" s="871"/>
      <c r="F177" s="872"/>
    </row>
    <row r="178" spans="1:6" s="19" customFormat="1" ht="15" customHeight="1" x14ac:dyDescent="0.3">
      <c r="A178" s="366" t="s">
        <v>226</v>
      </c>
      <c r="B178" s="876" t="s">
        <v>227</v>
      </c>
      <c r="C178" s="876"/>
      <c r="D178" s="876"/>
      <c r="E178" s="871"/>
      <c r="F178" s="872"/>
    </row>
    <row r="179" spans="1:6" s="19" customFormat="1" ht="15" customHeight="1" x14ac:dyDescent="0.3">
      <c r="A179" s="366" t="s">
        <v>249</v>
      </c>
      <c r="B179" s="876" t="s">
        <v>250</v>
      </c>
      <c r="C179" s="876"/>
      <c r="D179" s="876"/>
      <c r="E179" s="871"/>
      <c r="F179" s="872"/>
    </row>
    <row r="180" spans="1:6" s="19" customFormat="1" ht="15" customHeight="1" x14ac:dyDescent="0.3">
      <c r="A180" s="366" t="s">
        <v>292</v>
      </c>
      <c r="B180" s="876" t="s">
        <v>293</v>
      </c>
      <c r="C180" s="876"/>
      <c r="D180" s="876"/>
      <c r="E180" s="871"/>
      <c r="F180" s="872"/>
    </row>
    <row r="181" spans="1:6" s="19" customFormat="1" ht="15" customHeight="1" x14ac:dyDescent="0.3">
      <c r="A181" s="366" t="s">
        <v>327</v>
      </c>
      <c r="B181" s="876" t="s">
        <v>328</v>
      </c>
      <c r="C181" s="876"/>
      <c r="D181" s="876"/>
      <c r="E181" s="871"/>
      <c r="F181" s="872"/>
    </row>
    <row r="182" spans="1:6" s="19" customFormat="1" ht="15" customHeight="1" x14ac:dyDescent="0.3">
      <c r="A182" s="366" t="s">
        <v>630</v>
      </c>
      <c r="B182" s="876" t="s">
        <v>631</v>
      </c>
      <c r="C182" s="876"/>
      <c r="D182" s="876"/>
      <c r="E182" s="871"/>
      <c r="F182" s="872"/>
    </row>
    <row r="183" spans="1:6" s="19" customFormat="1" ht="15" customHeight="1" x14ac:dyDescent="0.3">
      <c r="A183" s="366" t="s">
        <v>372</v>
      </c>
      <c r="B183" s="876" t="s">
        <v>373</v>
      </c>
      <c r="C183" s="876"/>
      <c r="D183" s="876"/>
      <c r="E183" s="871"/>
      <c r="F183" s="872"/>
    </row>
    <row r="184" spans="1:6" s="19" customFormat="1" ht="15" customHeight="1" x14ac:dyDescent="0.3">
      <c r="A184" s="366" t="s">
        <v>396</v>
      </c>
      <c r="B184" s="876" t="s">
        <v>397</v>
      </c>
      <c r="C184" s="876"/>
      <c r="D184" s="876"/>
      <c r="E184" s="871"/>
      <c r="F184" s="872"/>
    </row>
    <row r="185" spans="1:6" s="19" customFormat="1" ht="15" customHeight="1" x14ac:dyDescent="0.3">
      <c r="A185" s="366" t="s">
        <v>405</v>
      </c>
      <c r="B185" s="876" t="s">
        <v>408</v>
      </c>
      <c r="C185" s="876"/>
      <c r="D185" s="876"/>
      <c r="E185" s="871"/>
      <c r="F185" s="872"/>
    </row>
    <row r="186" spans="1:6" s="19" customFormat="1" ht="15" customHeight="1" thickBot="1" x14ac:dyDescent="0.35">
      <c r="A186" s="367"/>
      <c r="B186" s="877"/>
      <c r="C186" s="877"/>
      <c r="D186" s="877"/>
      <c r="E186" s="878"/>
      <c r="F186" s="879"/>
    </row>
    <row r="187" spans="1:6" s="19" customFormat="1" ht="24.9" customHeight="1" thickTop="1" thickBot="1" x14ac:dyDescent="0.35">
      <c r="A187" s="880" t="s">
        <v>37</v>
      </c>
      <c r="B187" s="881"/>
      <c r="C187" s="881"/>
      <c r="D187" s="881"/>
      <c r="E187" s="882"/>
      <c r="F187" s="883"/>
    </row>
    <row r="188" spans="1:6" s="19" customFormat="1" ht="15" customHeight="1" thickTop="1" x14ac:dyDescent="0.3"/>
  </sheetData>
  <mergeCells count="55">
    <mergeCell ref="B186:D186"/>
    <mergeCell ref="E186:F186"/>
    <mergeCell ref="A187:D187"/>
    <mergeCell ref="E187:F187"/>
    <mergeCell ref="B183:D183"/>
    <mergeCell ref="E183:F183"/>
    <mergeCell ref="B184:D184"/>
    <mergeCell ref="E184:F184"/>
    <mergeCell ref="B185:D185"/>
    <mergeCell ref="E185:F185"/>
    <mergeCell ref="B180:D180"/>
    <mergeCell ref="E180:F180"/>
    <mergeCell ref="B181:D181"/>
    <mergeCell ref="E181:F181"/>
    <mergeCell ref="B182:D182"/>
    <mergeCell ref="E182:F182"/>
    <mergeCell ref="B179:D179"/>
    <mergeCell ref="E179:F179"/>
    <mergeCell ref="B176:D176"/>
    <mergeCell ref="E176:F176"/>
    <mergeCell ref="B178:D178"/>
    <mergeCell ref="E178:F178"/>
    <mergeCell ref="B174:D174"/>
    <mergeCell ref="E174:F174"/>
    <mergeCell ref="B175:D175"/>
    <mergeCell ref="E175:F175"/>
    <mergeCell ref="B177:D177"/>
    <mergeCell ref="E177:F177"/>
    <mergeCell ref="B171:D171"/>
    <mergeCell ref="E171:F171"/>
    <mergeCell ref="B172:D172"/>
    <mergeCell ref="E172:F172"/>
    <mergeCell ref="B173:D173"/>
    <mergeCell ref="E173:F173"/>
    <mergeCell ref="A143:E143"/>
    <mergeCell ref="A163:D163"/>
    <mergeCell ref="E163:F163"/>
    <mergeCell ref="A168:F168"/>
    <mergeCell ref="B170:D170"/>
    <mergeCell ref="E170:F170"/>
    <mergeCell ref="A153:E153"/>
    <mergeCell ref="A161:E161"/>
    <mergeCell ref="A2:F2"/>
    <mergeCell ref="A3:F3"/>
    <mergeCell ref="A25:E25"/>
    <mergeCell ref="A45:E45"/>
    <mergeCell ref="A53:E53"/>
    <mergeCell ref="A13:E13"/>
    <mergeCell ref="A62:E62"/>
    <mergeCell ref="A72:E72"/>
    <mergeCell ref="A79:E79"/>
    <mergeCell ref="A104:E104"/>
    <mergeCell ref="A131:E131"/>
    <mergeCell ref="A116:E116"/>
    <mergeCell ref="A124:E1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2</vt:i4>
      </vt:variant>
    </vt:vector>
  </HeadingPairs>
  <TitlesOfParts>
    <vt:vector size="17" baseType="lpstr">
      <vt:lpstr>ALLOTISSEMENT </vt:lpstr>
      <vt:lpstr>PROGRAMME VISITES OBLIGATOIRES</vt:lpstr>
      <vt:lpstr>RECAPITULATIF</vt:lpstr>
      <vt:lpstr>DQ Gender Desk MAN</vt:lpstr>
      <vt:lpstr>DQ Gender Desk SANGOUINE</vt:lpstr>
      <vt:lpstr>DQ Gender Desk ZOUAN HOUNIEN</vt:lpstr>
      <vt:lpstr>DQ Gender Desk SAN PEDRO</vt:lpstr>
      <vt:lpstr>DQ Gender Desk DANANE</vt:lpstr>
      <vt:lpstr>DQ Gender Desk BLOLEQUIN</vt:lpstr>
      <vt:lpstr>DQ Gender Desk TOULEPLEU</vt:lpstr>
      <vt:lpstr>DQ Gender Desk BIANKOUMA</vt:lpstr>
      <vt:lpstr>DQ Gender Desk TAÏ</vt:lpstr>
      <vt:lpstr>DQ Gender Desk TABOU</vt:lpstr>
      <vt:lpstr>DQ Gender Desk SIPILOU</vt:lpstr>
      <vt:lpstr>DQ Gender Desk KOUIBLY</vt:lpstr>
      <vt:lpstr>'DQ Gender Desk KOUIBLY'!Impression_des_titres</vt:lpstr>
      <vt:lpstr>'DQ Gender Desk MAN'!Impression_des_titres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Clerge -Sylvie</dc:creator>
  <cp:lastModifiedBy>Claudia Koudjodji</cp:lastModifiedBy>
  <cp:lastPrinted>2018-08-30T11:21:07Z</cp:lastPrinted>
  <dcterms:created xsi:type="dcterms:W3CDTF">2015-06-18T13:31:48Z</dcterms:created>
  <dcterms:modified xsi:type="dcterms:W3CDTF">2018-09-03T18:08:54Z</dcterms:modified>
</cp:coreProperties>
</file>