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ctrlProps/ctrlProp1.xml" ContentType="application/vnd.ms-excel.contro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126"/>
  <workbookPr/>
  <mc:AlternateContent xmlns:mc="http://schemas.openxmlformats.org/markup-compatibility/2006">
    <mc:Choice Requires="x15">
      <x15ac:absPath xmlns:x15ac="http://schemas.microsoft.com/office/spreadsheetml/2010/11/ac" url="C:\Users\kathleen.blain\OneDrive\Documents\CP BRESIL\CAYES\AOI CAYES\NOUVEAU AOI CAYES\CONSTRUCTION\nouveaux plans structures\"/>
    </mc:Choice>
  </mc:AlternateContent>
  <xr:revisionPtr revIDLastSave="0" documentId="8_{4BC1C697-6346-4669-A3B4-6553676C1FCF}" xr6:coauthVersionLast="40" xr6:coauthVersionMax="40" xr10:uidLastSave="{00000000-0000-0000-0000-000000000000}"/>
  <bookViews>
    <workbookView xWindow="0" yWindow="0" windowWidth="28800" windowHeight="11565" tabRatio="723" activeTab="13" xr2:uid="{00000000-000D-0000-FFFF-FFFF00000000}"/>
  </bookViews>
  <sheets>
    <sheet name="--RESUME--" sheetId="12" r:id="rId1"/>
    <sheet name="01" sheetId="14" r:id="rId2"/>
    <sheet name="02" sheetId="17" r:id="rId3"/>
    <sheet name="03" sheetId="16" r:id="rId4"/>
    <sheet name="04" sheetId="20" r:id="rId5"/>
    <sheet name="05" sheetId="19" r:id="rId6"/>
    <sheet name="06" sheetId="18" r:id="rId7"/>
    <sheet name="07" sheetId="21" r:id="rId8"/>
    <sheet name="08" sheetId="22" r:id="rId9"/>
    <sheet name="09" sheetId="23" r:id="rId10"/>
    <sheet name="10" sheetId="24" r:id="rId11"/>
    <sheet name="11" sheetId="25" r:id="rId12"/>
    <sheet name="12" sheetId="29" r:id="rId13"/>
    <sheet name="13" sheetId="30" r:id="rId14"/>
  </sheets>
  <calcPr calcId="191029"/>
  <fileRecoveryPr autoRecover="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25" i="23" l="1"/>
  <c r="E28" i="14"/>
  <c r="G7" i="25" l="1"/>
  <c r="G6" i="25"/>
  <c r="G5" i="25"/>
  <c r="G4" i="25"/>
  <c r="G16" i="24"/>
  <c r="G15" i="24"/>
  <c r="G7" i="24"/>
  <c r="G6" i="24"/>
  <c r="G5" i="24"/>
  <c r="G4" i="24"/>
  <c r="G22" i="23"/>
  <c r="G6" i="23"/>
  <c r="G5" i="23"/>
  <c r="G4" i="23"/>
  <c r="G21" i="22"/>
  <c r="G7" i="22"/>
  <c r="G6" i="22"/>
  <c r="G5" i="22"/>
  <c r="G4" i="22"/>
  <c r="G7" i="21"/>
  <c r="G6" i="21"/>
  <c r="G5" i="21"/>
  <c r="G4" i="21"/>
  <c r="G7" i="18"/>
  <c r="G6" i="18"/>
  <c r="G5" i="18"/>
  <c r="G4" i="18"/>
  <c r="G7" i="19"/>
  <c r="G6" i="19"/>
  <c r="G5" i="19"/>
  <c r="G4" i="19"/>
  <c r="G7" i="16"/>
  <c r="G6" i="16"/>
  <c r="G5" i="16"/>
  <c r="G4" i="16"/>
  <c r="E15" i="17"/>
  <c r="G14" i="17"/>
  <c r="G13" i="17"/>
  <c r="G12" i="17"/>
  <c r="G11" i="17"/>
  <c r="G7" i="17"/>
  <c r="G6" i="17"/>
  <c r="G5" i="17"/>
  <c r="G4" i="17"/>
  <c r="G19" i="14"/>
  <c r="G18" i="14"/>
  <c r="G17" i="14"/>
  <c r="G15" i="14"/>
  <c r="E14" i="14"/>
  <c r="G14" i="14" s="1"/>
  <c r="G15" i="17" l="1"/>
  <c r="E24" i="17"/>
  <c r="F68" i="29"/>
  <c r="F69" i="29"/>
  <c r="F67" i="29"/>
  <c r="F66" i="29"/>
  <c r="F64" i="29"/>
  <c r="F61" i="29"/>
  <c r="F60" i="29"/>
  <c r="F59" i="29"/>
  <c r="F53" i="29"/>
  <c r="F54" i="29" l="1"/>
  <c r="F52" i="29"/>
  <c r="F51" i="29"/>
  <c r="F29" i="29" l="1"/>
  <c r="F25" i="29"/>
  <c r="F24" i="29"/>
  <c r="F26" i="29"/>
  <c r="F28" i="29"/>
  <c r="E38" i="30"/>
  <c r="G38" i="30" s="1"/>
  <c r="G34" i="30"/>
  <c r="G40" i="30"/>
  <c r="G39" i="30"/>
  <c r="G37" i="30"/>
  <c r="G36" i="30"/>
  <c r="G32" i="30"/>
  <c r="G20" i="30"/>
  <c r="E72" i="25"/>
  <c r="G72" i="25" s="1"/>
  <c r="E73" i="24"/>
  <c r="G73" i="24" s="1"/>
  <c r="E70" i="24"/>
  <c r="G70" i="24" s="1"/>
  <c r="E69" i="25"/>
  <c r="G69" i="25" s="1"/>
  <c r="E71" i="25"/>
  <c r="G71" i="25" s="1"/>
  <c r="G57" i="25"/>
  <c r="E28" i="25"/>
  <c r="G28" i="25" s="1"/>
  <c r="G80" i="25"/>
  <c r="G79" i="25"/>
  <c r="G78" i="25"/>
  <c r="G77" i="25"/>
  <c r="G76" i="25"/>
  <c r="G75" i="25"/>
  <c r="G74" i="25"/>
  <c r="G73" i="25"/>
  <c r="G70" i="25"/>
  <c r="G67" i="25"/>
  <c r="G66" i="25"/>
  <c r="G65" i="25"/>
  <c r="G64" i="25"/>
  <c r="G63" i="25"/>
  <c r="G61" i="25"/>
  <c r="G56" i="25"/>
  <c r="G55" i="25"/>
  <c r="G54" i="25"/>
  <c r="G53" i="25"/>
  <c r="G52" i="25"/>
  <c r="G51" i="25"/>
  <c r="G49" i="25"/>
  <c r="G48" i="25"/>
  <c r="G47" i="25"/>
  <c r="G45" i="25"/>
  <c r="G31" i="25"/>
  <c r="E72" i="24"/>
  <c r="G72" i="24" s="1"/>
  <c r="G58" i="24"/>
  <c r="G63" i="24"/>
  <c r="G62" i="24"/>
  <c r="G53" i="24"/>
  <c r="G52" i="24"/>
  <c r="G57" i="24"/>
  <c r="G56" i="24"/>
  <c r="G74" i="24"/>
  <c r="G71" i="24"/>
  <c r="G68" i="24"/>
  <c r="G67" i="24"/>
  <c r="G66" i="24"/>
  <c r="G65" i="24"/>
  <c r="G64" i="24"/>
  <c r="G60" i="24"/>
  <c r="G59" i="24"/>
  <c r="G55" i="24"/>
  <c r="G54" i="24"/>
  <c r="G51" i="24"/>
  <c r="G50" i="24"/>
  <c r="G49" i="24"/>
  <c r="G47" i="24"/>
  <c r="G46" i="24"/>
  <c r="G45" i="24"/>
  <c r="G43" i="24"/>
  <c r="G31" i="24"/>
  <c r="E49" i="23"/>
  <c r="E48" i="23"/>
  <c r="E46" i="23"/>
  <c r="G46" i="23" s="1"/>
  <c r="G56" i="23"/>
  <c r="G55" i="23"/>
  <c r="G54" i="23"/>
  <c r="G53" i="23"/>
  <c r="G52" i="23"/>
  <c r="G51" i="23"/>
  <c r="G50" i="23"/>
  <c r="G49" i="23"/>
  <c r="G48" i="23"/>
  <c r="G47" i="23"/>
  <c r="G44" i="23"/>
  <c r="G32" i="23"/>
  <c r="E79" i="22"/>
  <c r="G79" i="22" s="1"/>
  <c r="E78" i="22"/>
  <c r="E76" i="22"/>
  <c r="G76" i="22" s="1"/>
  <c r="E42" i="22"/>
  <c r="G87" i="22"/>
  <c r="G86" i="22"/>
  <c r="G85" i="22"/>
  <c r="G84" i="22"/>
  <c r="G83" i="22"/>
  <c r="G82" i="22"/>
  <c r="G81" i="22"/>
  <c r="G80" i="22"/>
  <c r="G78" i="22"/>
  <c r="G77" i="22"/>
  <c r="G74" i="22"/>
  <c r="G73" i="22"/>
  <c r="G72" i="22"/>
  <c r="G71" i="22"/>
  <c r="G70" i="22"/>
  <c r="G68" i="22"/>
  <c r="G64" i="22"/>
  <c r="G62" i="22"/>
  <c r="G61" i="22"/>
  <c r="G60" i="22"/>
  <c r="G58" i="22"/>
  <c r="G41" i="22"/>
  <c r="E73" i="21"/>
  <c r="G73" i="21" s="1"/>
  <c r="E70" i="18"/>
  <c r="G70" i="18" s="1"/>
  <c r="E72" i="21"/>
  <c r="E70" i="21"/>
  <c r="G80" i="21"/>
  <c r="G79" i="21"/>
  <c r="G78" i="21"/>
  <c r="G77" i="21"/>
  <c r="G76" i="21"/>
  <c r="G75" i="21"/>
  <c r="G74" i="21"/>
  <c r="G72" i="21"/>
  <c r="G71" i="21"/>
  <c r="G70" i="21"/>
  <c r="G68" i="21"/>
  <c r="G67" i="21"/>
  <c r="G66" i="21"/>
  <c r="G65" i="21"/>
  <c r="G64" i="21"/>
  <c r="G62" i="21"/>
  <c r="G61" i="21"/>
  <c r="G60" i="21"/>
  <c r="G59" i="21"/>
  <c r="G58" i="21"/>
  <c r="G56" i="21"/>
  <c r="G55" i="21"/>
  <c r="G54" i="21"/>
  <c r="G52" i="21"/>
  <c r="G34" i="21"/>
  <c r="E73" i="18"/>
  <c r="G73" i="18" s="1"/>
  <c r="E72" i="18"/>
  <c r="G72" i="18" s="1"/>
  <c r="G80" i="18"/>
  <c r="G79" i="18"/>
  <c r="G78" i="18"/>
  <c r="G77" i="18"/>
  <c r="G76" i="18"/>
  <c r="G75" i="18"/>
  <c r="G74" i="18"/>
  <c r="G71" i="18"/>
  <c r="G68" i="18"/>
  <c r="G67" i="18"/>
  <c r="G66" i="18"/>
  <c r="G65" i="18"/>
  <c r="G64" i="18"/>
  <c r="G62" i="18"/>
  <c r="G61" i="18"/>
  <c r="G60" i="18"/>
  <c r="G59" i="18"/>
  <c r="G58" i="18"/>
  <c r="G56" i="18"/>
  <c r="G55" i="18"/>
  <c r="G54" i="18"/>
  <c r="G52" i="18"/>
  <c r="G34" i="18"/>
  <c r="E73" i="19"/>
  <c r="G73" i="19" s="1"/>
  <c r="E72" i="19"/>
  <c r="G72" i="19" s="1"/>
  <c r="E70" i="19"/>
  <c r="G70" i="19" s="1"/>
  <c r="G57" i="19"/>
  <c r="G81" i="19"/>
  <c r="G80" i="19"/>
  <c r="G79" i="19"/>
  <c r="G78" i="19"/>
  <c r="G77" i="19"/>
  <c r="G76" i="19"/>
  <c r="G75" i="19"/>
  <c r="G74" i="19"/>
  <c r="G71" i="19"/>
  <c r="G68" i="19"/>
  <c r="G67" i="19"/>
  <c r="G66" i="19"/>
  <c r="G65" i="19"/>
  <c r="G64" i="19"/>
  <c r="G62" i="19"/>
  <c r="G61" i="19"/>
  <c r="G60" i="19"/>
  <c r="G59" i="19"/>
  <c r="G58" i="19"/>
  <c r="G56" i="19"/>
  <c r="G54" i="19"/>
  <c r="G53" i="19"/>
  <c r="G52" i="19"/>
  <c r="G50" i="19"/>
  <c r="G32" i="19"/>
  <c r="E42" i="20"/>
  <c r="G42" i="20" s="1"/>
  <c r="E41" i="20"/>
  <c r="G41" i="20" s="1"/>
  <c r="E39" i="20"/>
  <c r="G39" i="20" s="1"/>
  <c r="G49" i="20"/>
  <c r="G48" i="20"/>
  <c r="G47" i="20"/>
  <c r="G46" i="20"/>
  <c r="G45" i="20"/>
  <c r="G44" i="20"/>
  <c r="G43" i="20"/>
  <c r="G40" i="20"/>
  <c r="G37" i="20"/>
  <c r="G27" i="20"/>
  <c r="E71" i="16"/>
  <c r="G71" i="16" s="1"/>
  <c r="E70" i="16"/>
  <c r="G70" i="16" s="1"/>
  <c r="E68" i="16"/>
  <c r="G68" i="16" s="1"/>
  <c r="G62" i="17"/>
  <c r="G58" i="16"/>
  <c r="G78" i="16"/>
  <c r="G77" i="16"/>
  <c r="G76" i="16"/>
  <c r="G75" i="16"/>
  <c r="G74" i="16"/>
  <c r="G73" i="16"/>
  <c r="G72" i="16"/>
  <c r="G69" i="16"/>
  <c r="G66" i="16"/>
  <c r="G65" i="16"/>
  <c r="G64" i="16"/>
  <c r="G63" i="16"/>
  <c r="G62" i="16"/>
  <c r="G60" i="16"/>
  <c r="G59" i="16"/>
  <c r="G57" i="16"/>
  <c r="G56" i="16"/>
  <c r="G54" i="16"/>
  <c r="G53" i="16"/>
  <c r="G52" i="16"/>
  <c r="G50" i="16"/>
  <c r="G32" i="16"/>
  <c r="G84" i="17"/>
  <c r="G87" i="17"/>
  <c r="G86" i="17"/>
  <c r="G85" i="17"/>
  <c r="E76" i="17"/>
  <c r="G76" i="17" s="1"/>
  <c r="E75" i="17"/>
  <c r="G75" i="17" s="1"/>
  <c r="E73" i="17"/>
  <c r="G73" i="17" s="1"/>
  <c r="G61" i="17"/>
  <c r="G88" i="17"/>
  <c r="G83" i="17"/>
  <c r="G82" i="17"/>
  <c r="G81" i="17"/>
  <c r="G80" i="17"/>
  <c r="G79" i="17"/>
  <c r="G78" i="17"/>
  <c r="G77" i="17"/>
  <c r="G74" i="17"/>
  <c r="G71" i="17"/>
  <c r="G70" i="17"/>
  <c r="G69" i="17"/>
  <c r="G68" i="17"/>
  <c r="G67" i="17"/>
  <c r="G65" i="17"/>
  <c r="G64" i="17"/>
  <c r="G63" i="17"/>
  <c r="G60" i="17"/>
  <c r="G59" i="17"/>
  <c r="G57" i="17"/>
  <c r="G56" i="17"/>
  <c r="G55" i="17"/>
  <c r="G53" i="17"/>
  <c r="G32" i="17"/>
  <c r="G81" i="14"/>
  <c r="G66" i="14" l="1"/>
  <c r="G84" i="14"/>
  <c r="G85" i="14"/>
  <c r="G83" i="14"/>
  <c r="G80" i="14"/>
  <c r="G82" i="14"/>
  <c r="E77" i="14"/>
  <c r="G77" i="14" s="1"/>
  <c r="E76" i="14"/>
  <c r="G76" i="14" s="1"/>
  <c r="G78" i="14"/>
  <c r="G75" i="14"/>
  <c r="E74" i="14"/>
  <c r="G74" i="14" s="1"/>
  <c r="G57" i="14"/>
  <c r="G56" i="14"/>
  <c r="E55" i="14"/>
  <c r="G55" i="14" s="1"/>
  <c r="G72" i="14"/>
  <c r="G71" i="14"/>
  <c r="G70" i="14"/>
  <c r="G69" i="14"/>
  <c r="G68" i="14"/>
  <c r="G65" i="14"/>
  <c r="E62" i="14"/>
  <c r="G62" i="14" s="1"/>
  <c r="G61" i="14"/>
  <c r="G64" i="14"/>
  <c r="G63" i="14"/>
  <c r="G60" i="14"/>
  <c r="G59" i="14"/>
  <c r="F46" i="29"/>
  <c r="F45" i="29"/>
  <c r="F44" i="29"/>
  <c r="F43" i="29"/>
  <c r="F42" i="29"/>
  <c r="F40" i="29"/>
  <c r="F39" i="29"/>
  <c r="F36" i="29"/>
  <c r="F35" i="29"/>
  <c r="F33" i="29"/>
  <c r="F32" i="29"/>
  <c r="F31" i="29"/>
  <c r="F30" i="29"/>
  <c r="F38" i="29" l="1"/>
  <c r="D41" i="29" l="1"/>
  <c r="F41" i="29" s="1"/>
  <c r="G20" i="25" l="1"/>
  <c r="G22" i="24"/>
  <c r="G36" i="22"/>
  <c r="G30" i="21"/>
  <c r="G26" i="22"/>
  <c r="G25" i="22"/>
  <c r="G24" i="22"/>
  <c r="G30" i="18"/>
  <c r="G28" i="19"/>
  <c r="E19" i="20"/>
  <c r="E23" i="19"/>
  <c r="E22" i="16"/>
  <c r="G22" i="16" s="1"/>
  <c r="G28" i="16"/>
  <c r="G20" i="17"/>
  <c r="G19" i="17"/>
  <c r="G18" i="17"/>
  <c r="E27" i="17"/>
  <c r="G28" i="17"/>
  <c r="E23" i="14"/>
  <c r="F23" i="29"/>
  <c r="G22" i="30"/>
  <c r="G23" i="30"/>
  <c r="A5" i="29"/>
  <c r="A6" i="29" s="1"/>
  <c r="A7" i="29" s="1"/>
  <c r="A8" i="29" s="1"/>
  <c r="A9" i="29" s="1"/>
  <c r="A10" i="29" s="1"/>
  <c r="A11" i="29" s="1"/>
  <c r="A12" i="29" s="1"/>
  <c r="A13" i="29" s="1"/>
  <c r="A14" i="29" s="1"/>
  <c r="A15" i="29" s="1"/>
  <c r="A16" i="29" s="1"/>
  <c r="A17" i="29" s="1"/>
  <c r="A18" i="29" s="1"/>
  <c r="A19" i="29" s="1"/>
  <c r="A20" i="29" s="1"/>
  <c r="A21" i="29" s="1"/>
  <c r="A22" i="29" s="1"/>
  <c r="A23" i="29" s="1"/>
  <c r="A27" i="29" s="1"/>
  <c r="A37" i="29" s="1"/>
  <c r="A38" i="29" s="1"/>
  <c r="A47" i="29" s="1"/>
  <c r="A48" i="29" s="1"/>
  <c r="A49" i="29" s="1"/>
  <c r="A50" i="29" s="1"/>
  <c r="A58" i="29" s="1"/>
  <c r="A65" i="29" s="1"/>
  <c r="F37" i="29" l="1"/>
  <c r="F20" i="29"/>
  <c r="F19" i="29"/>
  <c r="F10" i="29"/>
  <c r="F5" i="29"/>
  <c r="G53" i="14" l="1"/>
  <c r="G36" i="14" l="1"/>
  <c r="F4" i="29" l="1"/>
  <c r="G83" i="25" l="1"/>
  <c r="G82" i="25"/>
  <c r="E30" i="25"/>
  <c r="G30" i="25" s="1"/>
  <c r="G29" i="25"/>
  <c r="E27" i="25"/>
  <c r="G27" i="25" s="1"/>
  <c r="E26" i="25"/>
  <c r="G26" i="25" s="1"/>
  <c r="G25" i="25"/>
  <c r="E22" i="25"/>
  <c r="G22" i="25" s="1"/>
  <c r="E21" i="25"/>
  <c r="G21" i="25" s="1"/>
  <c r="E19" i="25"/>
  <c r="G19" i="25" s="1"/>
  <c r="G18" i="25"/>
  <c r="G17" i="25"/>
  <c r="G15" i="25"/>
  <c r="E14" i="25"/>
  <c r="E23" i="25" s="1"/>
  <c r="G23" i="25" s="1"/>
  <c r="G13" i="25"/>
  <c r="G12" i="25"/>
  <c r="G11" i="25"/>
  <c r="C3" i="25"/>
  <c r="D13" i="12" s="1"/>
  <c r="G77" i="24"/>
  <c r="G76" i="24"/>
  <c r="E30" i="24"/>
  <c r="G30" i="24" s="1"/>
  <c r="G29" i="24"/>
  <c r="G28" i="24"/>
  <c r="E27" i="24"/>
  <c r="G27" i="24" s="1"/>
  <c r="G24" i="24"/>
  <c r="E23" i="24"/>
  <c r="G23" i="24" s="1"/>
  <c r="E21" i="24"/>
  <c r="G21" i="24" s="1"/>
  <c r="G20" i="24"/>
  <c r="G19" i="24"/>
  <c r="E17" i="24"/>
  <c r="E25" i="24" s="1"/>
  <c r="G14" i="24"/>
  <c r="G13" i="24"/>
  <c r="G12" i="24"/>
  <c r="E11" i="24"/>
  <c r="G11" i="24" s="1"/>
  <c r="C3" i="24"/>
  <c r="G26" i="24" s="1"/>
  <c r="G59" i="23"/>
  <c r="G58" i="23"/>
  <c r="E31" i="23"/>
  <c r="G31" i="23" s="1"/>
  <c r="G30" i="23"/>
  <c r="G29" i="23"/>
  <c r="E27" i="23"/>
  <c r="G27" i="23" s="1"/>
  <c r="E24" i="23"/>
  <c r="G24" i="23" s="1"/>
  <c r="G23" i="23"/>
  <c r="G20" i="23"/>
  <c r="G19" i="23"/>
  <c r="G18" i="23"/>
  <c r="E17" i="23"/>
  <c r="G17" i="23" s="1"/>
  <c r="E16" i="23"/>
  <c r="G16" i="23" s="1"/>
  <c r="E15" i="23"/>
  <c r="G15" i="23" s="1"/>
  <c r="E14" i="23"/>
  <c r="G14" i="23" s="1"/>
  <c r="E13" i="23"/>
  <c r="G13" i="23" s="1"/>
  <c r="E11" i="23"/>
  <c r="E12" i="23" s="1"/>
  <c r="G12" i="23" s="1"/>
  <c r="C3" i="23"/>
  <c r="E26" i="23" s="1"/>
  <c r="G26" i="23" s="1"/>
  <c r="G90" i="22"/>
  <c r="G89" i="22"/>
  <c r="E39" i="22"/>
  <c r="E40" i="22" s="1"/>
  <c r="G40" i="22" s="1"/>
  <c r="G38" i="22"/>
  <c r="E37" i="22"/>
  <c r="G37" i="22" s="1"/>
  <c r="E34" i="22"/>
  <c r="E35" i="22" s="1"/>
  <c r="G35" i="22" s="1"/>
  <c r="E30" i="22"/>
  <c r="E31" i="22" s="1"/>
  <c r="G31" i="22" s="1"/>
  <c r="G29" i="22"/>
  <c r="E28" i="22"/>
  <c r="G28" i="22" s="1"/>
  <c r="G27" i="22"/>
  <c r="E22" i="22"/>
  <c r="E19" i="22"/>
  <c r="G19" i="22" s="1"/>
  <c r="G18" i="22"/>
  <c r="G17" i="22"/>
  <c r="G16" i="22"/>
  <c r="G15" i="22"/>
  <c r="G14" i="22"/>
  <c r="G13" i="22"/>
  <c r="G12" i="22"/>
  <c r="G11" i="22"/>
  <c r="C3" i="22"/>
  <c r="E33" i="22" s="1"/>
  <c r="G33" i="22" s="1"/>
  <c r="G83" i="21"/>
  <c r="G82" i="21"/>
  <c r="E33" i="21"/>
  <c r="G33" i="21" s="1"/>
  <c r="G32" i="21"/>
  <c r="E31" i="21"/>
  <c r="G31" i="21" s="1"/>
  <c r="E29" i="21"/>
  <c r="G29" i="21" s="1"/>
  <c r="G28" i="21"/>
  <c r="E27" i="21"/>
  <c r="G27" i="21" s="1"/>
  <c r="G24" i="21"/>
  <c r="E23" i="21"/>
  <c r="G23" i="21" s="1"/>
  <c r="G22" i="21"/>
  <c r="G21" i="21"/>
  <c r="G20" i="21"/>
  <c r="G19" i="21"/>
  <c r="G18" i="21"/>
  <c r="E16" i="21"/>
  <c r="E15" i="21"/>
  <c r="G15" i="21" s="1"/>
  <c r="G14" i="21"/>
  <c r="G13" i="21"/>
  <c r="G12" i="21"/>
  <c r="E11" i="21"/>
  <c r="G11" i="21" s="1"/>
  <c r="C3" i="21"/>
  <c r="G83" i="18"/>
  <c r="G82" i="18"/>
  <c r="E33" i="18"/>
  <c r="G33" i="18" s="1"/>
  <c r="G32" i="18"/>
  <c r="E31" i="18"/>
  <c r="G31" i="18" s="1"/>
  <c r="E29" i="18"/>
  <c r="G29" i="18" s="1"/>
  <c r="G28" i="18"/>
  <c r="E27" i="18"/>
  <c r="G27" i="18" s="1"/>
  <c r="G24" i="18"/>
  <c r="G23" i="18"/>
  <c r="G22" i="18"/>
  <c r="G21" i="18"/>
  <c r="G20" i="18"/>
  <c r="G19" i="18"/>
  <c r="G18" i="18"/>
  <c r="E16" i="18"/>
  <c r="E15" i="18"/>
  <c r="G15" i="18" s="1"/>
  <c r="G14" i="18"/>
  <c r="G13" i="18"/>
  <c r="G12" i="18"/>
  <c r="E11" i="18"/>
  <c r="G11" i="18" s="1"/>
  <c r="C3" i="18"/>
  <c r="G84" i="19"/>
  <c r="G83" i="19"/>
  <c r="E31" i="19"/>
  <c r="G31" i="19" s="1"/>
  <c r="G30" i="19"/>
  <c r="E29" i="19"/>
  <c r="G29" i="19" s="1"/>
  <c r="E27" i="19"/>
  <c r="G27" i="19" s="1"/>
  <c r="G26" i="19"/>
  <c r="E22" i="19"/>
  <c r="G22" i="19" s="1"/>
  <c r="G21" i="19"/>
  <c r="G20" i="19"/>
  <c r="G19" i="19"/>
  <c r="G18" i="19"/>
  <c r="E16" i="19"/>
  <c r="E15" i="19"/>
  <c r="G15" i="19" s="1"/>
  <c r="G14" i="19"/>
  <c r="G13" i="19"/>
  <c r="G12" i="19"/>
  <c r="E11" i="19"/>
  <c r="G11" i="19" s="1"/>
  <c r="C3" i="19"/>
  <c r="E25" i="19" s="1"/>
  <c r="G25" i="19" s="1"/>
  <c r="G52" i="20"/>
  <c r="G51" i="20"/>
  <c r="E26" i="20"/>
  <c r="G26" i="20" s="1"/>
  <c r="G25" i="20"/>
  <c r="E24" i="20"/>
  <c r="G24" i="20" s="1"/>
  <c r="E23" i="20"/>
  <c r="G23" i="20" s="1"/>
  <c r="G22" i="20"/>
  <c r="G19" i="20"/>
  <c r="E17" i="20"/>
  <c r="E20" i="20" s="1"/>
  <c r="G20" i="20" s="1"/>
  <c r="E16" i="20"/>
  <c r="G16" i="20" s="1"/>
  <c r="G15" i="20"/>
  <c r="G14" i="20"/>
  <c r="G13" i="20"/>
  <c r="E12" i="20"/>
  <c r="G11" i="20"/>
  <c r="G10" i="20"/>
  <c r="G9" i="20"/>
  <c r="G8" i="20"/>
  <c r="G6" i="20"/>
  <c r="C4" i="20"/>
  <c r="E21" i="20" s="1"/>
  <c r="G21" i="20" s="1"/>
  <c r="G81" i="16"/>
  <c r="G80" i="16"/>
  <c r="E31" i="16"/>
  <c r="G31" i="16" s="1"/>
  <c r="G30" i="16"/>
  <c r="G29" i="16"/>
  <c r="G27" i="16"/>
  <c r="G26" i="16"/>
  <c r="G24" i="16"/>
  <c r="G23" i="16"/>
  <c r="G21" i="16"/>
  <c r="G20" i="16"/>
  <c r="G19" i="16"/>
  <c r="G18" i="16"/>
  <c r="G16" i="16"/>
  <c r="G15" i="16"/>
  <c r="G14" i="16"/>
  <c r="G13" i="16"/>
  <c r="G12" i="16"/>
  <c r="E11" i="16"/>
  <c r="G11" i="16" s="1"/>
  <c r="C3" i="16"/>
  <c r="E25" i="16" s="1"/>
  <c r="G25" i="16" s="1"/>
  <c r="G91" i="17"/>
  <c r="G90" i="17"/>
  <c r="E31" i="17"/>
  <c r="G31" i="17" s="1"/>
  <c r="G30" i="17"/>
  <c r="E29" i="17"/>
  <c r="G29" i="17" s="1"/>
  <c r="G27" i="17"/>
  <c r="G26" i="17"/>
  <c r="E23" i="17"/>
  <c r="G21" i="17"/>
  <c r="G16" i="17"/>
  <c r="G24" i="17"/>
  <c r="C3" i="17"/>
  <c r="E25" i="17" s="1"/>
  <c r="G25" i="17" s="1"/>
  <c r="G88" i="14"/>
  <c r="G87" i="14"/>
  <c r="G79" i="14"/>
  <c r="E35" i="14"/>
  <c r="G35" i="14" s="1"/>
  <c r="G34" i="14"/>
  <c r="E33" i="14"/>
  <c r="G33" i="14" s="1"/>
  <c r="E32" i="14"/>
  <c r="G32" i="14" s="1"/>
  <c r="G31" i="14"/>
  <c r="G30" i="14"/>
  <c r="E27" i="14"/>
  <c r="G25" i="14"/>
  <c r="G24" i="14"/>
  <c r="G23" i="14"/>
  <c r="G22" i="14"/>
  <c r="G20" i="14"/>
  <c r="E10" i="14"/>
  <c r="G10" i="14" s="1"/>
  <c r="E9" i="14"/>
  <c r="G9" i="14" s="1"/>
  <c r="E8" i="14"/>
  <c r="G8" i="14" s="1"/>
  <c r="G7" i="14"/>
  <c r="G6" i="14"/>
  <c r="G5" i="14"/>
  <c r="C3" i="14"/>
  <c r="E29" i="14" s="1"/>
  <c r="G29" i="14" s="1"/>
  <c r="G19" i="30"/>
  <c r="G18" i="30"/>
  <c r="G17" i="30"/>
  <c r="G16" i="30"/>
  <c r="G15" i="30"/>
  <c r="G14" i="30"/>
  <c r="E13" i="30"/>
  <c r="G13" i="30" s="1"/>
  <c r="E12" i="30"/>
  <c r="G12" i="30" s="1"/>
  <c r="G11" i="30"/>
  <c r="E10" i="30"/>
  <c r="G10" i="30" s="1"/>
  <c r="G9" i="30"/>
  <c r="E8" i="30"/>
  <c r="G8" i="30" s="1"/>
  <c r="E7" i="30"/>
  <c r="G7" i="30" s="1"/>
  <c r="E6" i="30"/>
  <c r="G6" i="30" s="1"/>
  <c r="E5" i="30"/>
  <c r="G5" i="30" s="1"/>
  <c r="E4" i="30"/>
  <c r="G4" i="30" s="1"/>
  <c r="C3" i="30"/>
  <c r="F63" i="29"/>
  <c r="F62" i="29"/>
  <c r="F57" i="29"/>
  <c r="F56" i="29"/>
  <c r="F55" i="29"/>
  <c r="F71" i="29"/>
  <c r="F48" i="29"/>
  <c r="F47" i="29"/>
  <c r="F27" i="29"/>
  <c r="F22" i="29"/>
  <c r="F21" i="29"/>
  <c r="D18" i="29"/>
  <c r="F18" i="29" s="1"/>
  <c r="F17" i="29"/>
  <c r="F16" i="29"/>
  <c r="F15" i="29"/>
  <c r="F14" i="29"/>
  <c r="F13" i="29"/>
  <c r="F12" i="29"/>
  <c r="F11" i="29"/>
  <c r="F70" i="29"/>
  <c r="F8" i="29"/>
  <c r="F7" i="29"/>
  <c r="G24" i="12"/>
  <c r="D12" i="12" l="1"/>
  <c r="E26" i="21"/>
  <c r="G26" i="21" s="1"/>
  <c r="E25" i="18"/>
  <c r="G25" i="18" s="1"/>
  <c r="D5" i="12"/>
  <c r="D3" i="12"/>
  <c r="G39" i="22"/>
  <c r="G28" i="14"/>
  <c r="G27" i="14"/>
  <c r="E26" i="14"/>
  <c r="G26" i="14" s="1"/>
  <c r="G23" i="17"/>
  <c r="E22" i="17"/>
  <c r="G22" i="17" s="1"/>
  <c r="G11" i="23"/>
  <c r="E26" i="18"/>
  <c r="G26" i="18" s="1"/>
  <c r="G25" i="24"/>
  <c r="G14" i="25"/>
  <c r="D6" i="12"/>
  <c r="D9" i="12"/>
  <c r="G7" i="20"/>
  <c r="G17" i="20"/>
  <c r="D8" i="12"/>
  <c r="F9" i="29"/>
  <c r="D11" i="12"/>
  <c r="D4" i="12"/>
  <c r="E28" i="23"/>
  <c r="G28" i="23" s="1"/>
  <c r="E24" i="19"/>
  <c r="G24" i="19" s="1"/>
  <c r="D10" i="12"/>
  <c r="E24" i="25"/>
  <c r="G24" i="25" s="1"/>
  <c r="E25" i="21"/>
  <c r="G25" i="21" s="1"/>
  <c r="G16" i="18"/>
  <c r="G41" i="30"/>
  <c r="F15" i="12" s="1"/>
  <c r="G4" i="14"/>
  <c r="G16" i="19"/>
  <c r="G23" i="19"/>
  <c r="G16" i="21"/>
  <c r="G22" i="22"/>
  <c r="G30" i="22"/>
  <c r="G34" i="22"/>
  <c r="G25" i="23"/>
  <c r="G12" i="20"/>
  <c r="E18" i="20"/>
  <c r="G18" i="20" s="1"/>
  <c r="G17" i="24"/>
  <c r="G82" i="16"/>
  <c r="G84" i="18" l="1"/>
  <c r="G3" i="18" s="1"/>
  <c r="G89" i="14"/>
  <c r="G3" i="14" s="1"/>
  <c r="G60" i="23"/>
  <c r="G3" i="23" s="1"/>
  <c r="D16" i="12"/>
  <c r="D6" i="29" s="1"/>
  <c r="F6" i="29" s="1"/>
  <c r="F72" i="29" s="1"/>
  <c r="F14" i="12" s="1"/>
  <c r="E14" i="12" s="1"/>
  <c r="G84" i="25"/>
  <c r="F13" i="12" s="1"/>
  <c r="G78" i="24"/>
  <c r="F12" i="12" s="1"/>
  <c r="G53" i="20"/>
  <c r="G4" i="20" s="1"/>
  <c r="G91" i="22"/>
  <c r="G3" i="22" s="1"/>
  <c r="G84" i="21"/>
  <c r="G3" i="21" s="1"/>
  <c r="G85" i="19"/>
  <c r="G3" i="19" s="1"/>
  <c r="F5" i="12"/>
  <c r="G3" i="16"/>
  <c r="G92" i="17"/>
  <c r="F11" i="12" l="1"/>
  <c r="E11" i="12" s="1"/>
  <c r="F8" i="12"/>
  <c r="E8" i="12" s="1"/>
  <c r="F3" i="12"/>
  <c r="E3" i="12" s="1"/>
  <c r="G3" i="25"/>
  <c r="G3" i="24"/>
  <c r="F10" i="12"/>
  <c r="G27" i="12" s="1"/>
  <c r="F9" i="12"/>
  <c r="E9" i="12" s="1"/>
  <c r="F6" i="12"/>
  <c r="G22" i="12"/>
  <c r="E5" i="12"/>
  <c r="G29" i="12"/>
  <c r="E12" i="12"/>
  <c r="G30" i="12"/>
  <c r="E13" i="12"/>
  <c r="G3" i="17"/>
  <c r="F4" i="12"/>
  <c r="G25" i="12" l="1"/>
  <c r="G20" i="12"/>
  <c r="E10" i="12"/>
  <c r="G26" i="12"/>
  <c r="F16" i="12"/>
  <c r="G31" i="12" s="1"/>
  <c r="G23" i="12"/>
  <c r="E6" i="12"/>
  <c r="G21" i="12"/>
  <c r="E4" i="12"/>
  <c r="E16" i="12" l="1"/>
</calcChain>
</file>

<file path=xl/sharedStrings.xml><?xml version="1.0" encoding="utf-8"?>
<sst xmlns="http://schemas.openxmlformats.org/spreadsheetml/2006/main" count="2308" uniqueCount="627">
  <si>
    <t>m2</t>
  </si>
  <si>
    <t>ml</t>
  </si>
  <si>
    <t>m3</t>
  </si>
  <si>
    <t>u</t>
  </si>
  <si>
    <t>subtotal</t>
  </si>
  <si>
    <t>p/u</t>
  </si>
  <si>
    <t>TOTAL</t>
  </si>
  <si>
    <t>RESUMEN</t>
  </si>
  <si>
    <t>SALLE DE CLASSE</t>
  </si>
  <si>
    <t>AUDITORIUM</t>
  </si>
  <si>
    <t>BLOC SANITAIRE</t>
  </si>
  <si>
    <t>DORTOIR</t>
  </si>
  <si>
    <t>U</t>
  </si>
  <si>
    <t>Extinguisher poudre chimique sec polyvalent 6 kg (PQS)</t>
  </si>
  <si>
    <t xml:space="preserve">Extinguisher Co2 3,5 kg </t>
  </si>
  <si>
    <t>ATELIER (S)</t>
  </si>
  <si>
    <t>ATELIER (L)</t>
  </si>
  <si>
    <t>ADMINISTRACIÓN L</t>
  </si>
  <si>
    <t>ADMINISTRACIÓN S</t>
  </si>
  <si>
    <t>REFRECTOIRE</t>
  </si>
  <si>
    <t>SALLE DE TECHNOLOGIE</t>
  </si>
  <si>
    <t>SALLE DE CLASSES</t>
  </si>
  <si>
    <t>LOCAL TECHNIQUE + DEPOT + LOGEMENT GARDIEN</t>
  </si>
  <si>
    <r>
      <t xml:space="preserve">FONÇAGE À SEC À BASE DE GRAVILLON </t>
    </r>
    <r>
      <rPr>
        <sz val="9"/>
        <rFont val="Calibri"/>
        <family val="2"/>
        <scheme val="minor"/>
      </rPr>
      <t>de 10cms d'épaisseur sous semelles filantes y compris toutes fournitures et sujétions de mise en œuvre.</t>
    </r>
  </si>
  <si>
    <r>
      <rPr>
        <b/>
        <sz val="10"/>
        <rFont val="Calibri"/>
        <family val="2"/>
        <scheme val="minor"/>
      </rPr>
      <t xml:space="preserve">PORTAIL D’ACCES EN ACIER
</t>
    </r>
    <r>
      <rPr>
        <sz val="9"/>
        <rFont val="Calibri"/>
        <family val="2"/>
        <scheme val="minor"/>
      </rPr>
      <t>Fourniture, fabrication et installation des portails d’acces avec des montants de 60x60x3mm; traverses haute et intermédiaire de 60x60x3mm; traverse basse de 100x60x3mm; barreaux en tube rond de 20x2mm; tôle de remplissage de 1.5mm d'épaisseur.
Tout compris : serrure en aluminium anodisé, rails et autres.
Voir plan et détails spécifiques. Mesures à valider sur chantier avec la supervision.</t>
    </r>
  </si>
  <si>
    <r>
      <t>BÉTON ARMÉ DALLE PLAN DE TRAVAIL.</t>
    </r>
    <r>
      <rPr>
        <sz val="10"/>
        <rFont val="Calibri"/>
        <family val="2"/>
        <scheme val="minor"/>
      </rPr>
      <t xml:space="preserve">
</t>
    </r>
    <r>
      <rPr>
        <sz val="9"/>
        <rFont val="Calibri"/>
        <family val="2"/>
        <scheme val="minor"/>
      </rPr>
      <t>Fourniture et mise en œuvre du béton de 25MPa résistance à la compression minimum conforme aux plans structurels. Finition béton ciré avec une tolérance maximum de 0,25%. Dalle monolithique en béton armé de 60mm d'epaisseur posées sur un ossature en bois hydrofuge, y compris les meubles bas. Comprenant la fourniture et fabrication des armatures, les matériaux, le matériel de travail, le coffrage, la main d'œuvre et toutes sujétions de mise en œuvre.</t>
    </r>
  </si>
  <si>
    <r>
      <t>BÉTON ARMÉ DALLE PLANCHER</t>
    </r>
    <r>
      <rPr>
        <sz val="10"/>
        <rFont val="Calibri"/>
        <family val="2"/>
        <scheme val="minor"/>
      </rPr>
      <t xml:space="preserve">
</t>
    </r>
    <r>
      <rPr>
        <sz val="9"/>
        <rFont val="Calibri"/>
        <family val="2"/>
        <scheme val="minor"/>
      </rPr>
      <t>Fourniture et mise en œuvre du béton de 31MPa résistance à la compression minimum conforme aux plans structurels. Béton banché finition brut lisse (apparent), dont la surface doit être totalement homogène et coins homogènes biseautés à 45º 2cm. On ne permet pas les ragréages, donc les surfaces ne doivent pas présenter aucune aspérité, bulles d'air, nids d’abeilles, fissures ou autres imperfections. Il aura un béton de 31MPa résistance à la compression minimum conforme aux plans structurels.
Comprenant la fourniture et fabrication des armatures, les matériaux, le matériel de travail, le coffrage, la main d'œuvre et toutes sujétions de mise en œuvre.</t>
    </r>
  </si>
  <si>
    <r>
      <t xml:space="preserve">ESCALIER EN BÉTON ARMÉ.
</t>
    </r>
    <r>
      <rPr>
        <sz val="9"/>
        <rFont val="Calibri"/>
        <family val="2"/>
        <scheme val="minor"/>
      </rPr>
      <t>Fourniture et mise en œuvre du béton de 31MPa résistance à la compression minimum conforme aux plans structurels. Béton banché finition brut lisse (apparent), dont la surface doit être totalement homogène et coins homogènes biseautés à 45º 2cm. On ne permet pas les ragréages, donc les surfaces ne doivent pas présenter aucune aspérité, bulles d'air, nids d’abeilles, fissures ou autres imperfections. Il aura un béton de 31MPa résistance à la compression minimum conforme aux plans structurels.
Comprenant la fourniture et fabrication des armatures, les matériaux, le matériel de travail, le coffrage, la main d'œuvre et toutes sujétions de mise en œuvre.</t>
    </r>
  </si>
  <si>
    <t>BLOCS SANITAIRES</t>
  </si>
  <si>
    <r>
      <t xml:space="preserve">BÉTON DE PROPRETÉ 
</t>
    </r>
    <r>
      <rPr>
        <sz val="9"/>
        <rFont val="Calibri"/>
        <family val="2"/>
        <scheme val="minor"/>
      </rPr>
      <t>Fourniture et mise en œuvre de béton maigre non structurel coulé sur le fonçage du gravillon, épaisseur 5cm, tout compris.
Voir plans et détailles de fondation. Niveaux à valider par la supervision.</t>
    </r>
  </si>
  <si>
    <r>
      <t xml:space="preserve">BÉTON ARMÉ POUR COLONNES
</t>
    </r>
    <r>
      <rPr>
        <sz val="9"/>
        <rFont val="Calibri"/>
        <family val="2"/>
        <scheme val="minor"/>
      </rPr>
      <t>Fourniture et mise en œuvre de béton armé pour colonnes, résistance à la compression 31MPa, tout compris (matériaux, coffrage, fabrication d’armatures, matériel accessoire, main d’œuvre, etc.).
Béton banché finition brute lisse (apparent), avec surfaces totalement homogènes (sans aspérités, bulles d'air, nids d’abeilles, fissures ou autres imperfections, les ragréages ne sont pas permis) et arrêtes biseautées (2cm à 45º).
Caractéristiques de béton et d’armatures, et spécifications techniques de mise en œuvre, conformes aux plans de structure. Voir plans et détails de structure.</t>
    </r>
  </si>
  <si>
    <r>
      <t xml:space="preserve">BÉTON ARMÉ POUR POUTRES 
</t>
    </r>
    <r>
      <rPr>
        <sz val="9"/>
        <rFont val="Calibri"/>
        <family val="2"/>
        <scheme val="minor"/>
      </rPr>
      <t>Fourniture et mise en œuvre de béton armé pour poutres, résistance à la compression 31MPa, tout compris (matériaux, coffrage, fabrication d’armatures, matériel accessoire, main d’œuvre, etc.).
Béton banché finition brute lisse (apparent), avec surfaces totalement homogènes (sans aspérités, bulles d'air, nids d’abeilles, fissures ou autres imperfections, les ragréages ne sont pas permis) et arrêtes biseautées (2cm à 45º).
Caractéristiques du béton et des armatures, et spécifications techniques de mise en œuvre, conformes aux plans de structure. Voir plans et détails de structure.</t>
    </r>
  </si>
  <si>
    <r>
      <t xml:space="preserve">BÉTON ARMÉ POUR DALLES DE TOITURE EN PORTE À FAUX
</t>
    </r>
    <r>
      <rPr>
        <sz val="9"/>
        <rFont val="Calibri"/>
        <family val="2"/>
        <scheme val="minor"/>
      </rPr>
      <t>Fourniture et mise en œuvre de béton armé pour dalles de toiture en porte à faux, résistance à la compression 31MPa, tout compris (matériaux, coffrage, fabrication d’armatures, matériel accessoire, main d’œuvre, etc.)
Béton banché finition brute lisse (apparent), avec surfaces totalement homogènes (sans aspérités, bulles d'air, nids d’abeilles, fissures ou autres imperfections, les ragréages ne sont pas permis) et arrêtes biseautées (2cm à 45º).
Caractéristiques du béton et des armatures, et spécifications techniques de mise en œuvre, conformes aux plans de structure. Voir plans et détails de structure.</t>
    </r>
  </si>
  <si>
    <r>
      <t xml:space="preserve">MAÇONNERIE DE BLOC DE BETON POUR FONDATION 
</t>
    </r>
    <r>
      <rPr>
        <sz val="9"/>
        <rFont val="Calibri"/>
        <family val="2"/>
        <scheme val="minor"/>
      </rPr>
      <t>Fourniture et mise en œuvre de murs de blocs de béton de 40x20x20cm et résistance à la compression 14MPa, rempli au mortier dosé à 250 kg de CPA/m3, armature verticale barres d’acier #5 @0,60m et horizontale #3 @0,40m, tout compris (matériaux, coffrage, fabrication d’armatures, matériel accessoire, main d’œuvre, etc.)
Voir plan et détails spécifiques.</t>
    </r>
  </si>
  <si>
    <r>
      <t xml:space="preserve">MAÇONNERIE DE BLOCS DE BETON
</t>
    </r>
    <r>
      <rPr>
        <sz val="9"/>
        <rFont val="Calibri"/>
        <family val="2"/>
        <scheme val="minor"/>
      </rPr>
      <t>Fourniture et mise en œuvre de murs de blocs de béton de 40x20x20cm et résistance à la compression 14MPa, rempli au mortier dosé à 250 kg de CPA/m3, armature verticale barres d’acier #5 @0,60m et horizontale #3 @0,40m, tout compris (matériaux, coffrage, fabrication d’armatures, matériel accessoire, main d’œuvre, etc.)
Les deux faces du mur sans revêtement et avec une surface totalement homogène (blocs cassés, ébréchés ou avec d’autres imperfections no seront pas acceptés), utilisation de pièces spéciales de boc de béton aux jambages d’ouvertures et couronnement de murs, et rejointoiement des blocs au mortier fin.
Murs à calibrer en largeur à 20cm pour la mise en œuvre d’un demi-bloc, en hauteur pour un nombre entier de blocs. Disposition de blocs soumise à validation de la supervision. 
Voir plans de structures, architecture et détails spécifiques.</t>
    </r>
  </si>
  <si>
    <r>
      <t xml:space="preserve">CHARPENTE MÉTALLIQUE DE LA TOITURE
</t>
    </r>
    <r>
      <rPr>
        <sz val="9"/>
        <rFont val="Calibri"/>
        <family val="2"/>
        <scheme val="minor"/>
      </rPr>
      <t>Fourniture et montage de structure métallique en acier pour la réalisation de toiture à 4 versants, avec fermes de treillis réalisées avec profils laminés type L ancrés aux poutres périmétrales en béton armé, solives avec profils galvanisés en Z, tout compris (matériaux, soudures, éléments d’ancrage, contreventement de la structure, moyens de levage auxiliaires, main d’œuvre, etc.)
Peinture des éléments d’acier avec émail synthétique, couleur RAL 7022, avec une première couche primaire de protection antioxydante sans plomb et deux couches de finition, tout inclus (grattage des oxydes, nettoyage, moyens auxiliaires, etc.)
Voir plans de structures, architecture et détails spécifiques. Mesures à valider sur chantier avec la supervision avant le début de la fabrication des fermes.</t>
    </r>
  </si>
  <si>
    <r>
      <t xml:space="preserve">REVETEMENT DE TOITURE EN TOLE 
</t>
    </r>
    <r>
      <rPr>
        <sz val="9"/>
        <rFont val="Calibri"/>
        <family val="2"/>
        <scheme val="minor"/>
      </rPr>
      <t>Fourniture et mise en œuvre du revêtement de toiture en plaques de tôle nervurée trapézoïdale d’une épaisseur de 1mm/18ga minimum, hauteur des nerves / frettes de 40mm, visé avec fixations mécaniques spéciales aux solives, pour en ensemble qui garanti l’étanchéité a l’intérieur du bâtiment, tout compris (faitières et arêtiers avec pièces spéciales de la couleur de la tôle et du même fournisseur, profils L de finition en aluminium de la même couleur, grille antivolatiles, etc.
Voir information, spécifications et détails dans les plans d’structure et architecture. Mise en œuvre suivant le cahier technique et recommandations du fabricant. Couleur à définir par la supervision.</t>
    </r>
  </si>
  <si>
    <r>
      <t xml:space="preserve">BRISE-SOLEIL EN PIN TRAITÉ
</t>
    </r>
    <r>
      <rPr>
        <sz val="9"/>
        <rFont val="Calibri"/>
        <family val="2"/>
        <scheme val="minor"/>
      </rPr>
      <t>Fourniture et mise en œuvre de brise-soleil en bois de pin traité en autoclave avec sels de cuivre, avec lattes verticales et barres transversales horizontales de 50x100mm/2x4”, fixé aux éléments structurels et murs avec des fixations mécaniques, tout compris.
Voir plan et détails spécifiques. Mesures à valider sur chantier avec la supervision.</t>
    </r>
  </si>
  <si>
    <r>
      <t xml:space="preserve">CLOISON EN PLAQUES DE PLÂTRE
</t>
    </r>
    <r>
      <rPr>
        <sz val="9"/>
        <rFont val="Calibri"/>
        <family val="2"/>
        <scheme val="minor"/>
      </rPr>
      <t>Fourniture et mise en œuvre de cloison de distribution de 100mm (15+70+15), en plaques de plâtre de 15mm d’épaisseur de haute densité, vissés à double face sur ossature métallique en acier galvanisé d’un épaisseur minimale de 0,9mm/19ga, montants de 70mm sur une modulation de 60cm entre axes; remplissage intérieur avec panneaux de laine de roche semi-rigide; élément de construction fini complètement, avec surfaces prêtes à peindre, tout compris (assemblage de l’ossature métallique selon les critères du fournisseur, bande d’étanchéité au sol, profil de protection de haute performance aux angles de murs exposés, renforts d’ossature  quand nécessaire, plaques hydrofuges en pièces humides, enduit et bande calicot entre plaques, part proportionnelle de pâte, vis et d’autres éléments nécessaires pour la fixations, etc.).
Mise en œuvre d’ossature et plaques de plâtre suivant le cahier technique et recommandations du fabricant. 
Voir plans de distribution et détails. Mesures et mise en œuvre à valider sur chantier par la supervision.</t>
    </r>
  </si>
  <si>
    <r>
      <rPr>
        <b/>
        <sz val="10"/>
        <rFont val="Calibri"/>
        <family val="2"/>
        <scheme val="minor"/>
      </rPr>
      <t xml:space="preserve">PORTE BATTANTE METALLIQUE
</t>
    </r>
    <r>
      <rPr>
        <sz val="9"/>
        <rFont val="Calibri"/>
        <family val="2"/>
        <scheme val="minor"/>
      </rPr>
      <t>Fourniture et installation de porte battante avec structure en tube d’acier de 50x100x2mm/2x4” sur encadrement en profils cornières L 60x30x3mm, ancrés à plaque d’acier de 5mm d’épaisseur et 10mm plus large que l’épaisseur des murs et à toute la hauteur, avec revêtement extérieur de panneau stratifié haute pression type HPL Compact de 6mm d’épaisseur, couleur RAL 7022, fixé sur la structure de la porte avec une colle de polyuréthane. Élément de construction fini complètement, tout compris (serrure avec poignée en aluminium anodisé, quatre charnières haute qualité pour souder, etc.)
Voir plan et détails spécifiques. Mesures à valider sur chantier avec la supervision.</t>
    </r>
  </si>
  <si>
    <r>
      <t xml:space="preserve">PORTE PLANE EN BOIS CONTREPLAQUÉ
</t>
    </r>
    <r>
      <rPr>
        <sz val="9"/>
        <rFont val="Calibri"/>
        <family val="2"/>
        <scheme val="minor"/>
      </rPr>
      <t>Fourniture et installation de porte battante en panneau en bois contreplaqué Ep. 40 mm; encadrement en profils cornières L 60x30x3mm, peinture cuite au four avec la même couleur en couleur blanc RAL 9010, ancrés à plaque d’acier de 5mm d’épaisseur et 10mm plus large que l’épaisseur des murs et à toute la hauteur; finition des surfaces de panneau avec peinturée acrylique satiné à côté double, couleur RAL 9010, fixé sur la structure de la porte avec une colle de polyuréthane, tout compris (serrure avec poignée en aluminium anodisé, charnières haute qualité, ETC.
Voir plan et détails spécifiques. Mesures à valider sur chantier avec la supervision.</t>
    </r>
  </si>
  <si>
    <r>
      <t xml:space="preserve">REVETEMENT CERAMIQUE DE MUR
</t>
    </r>
    <r>
      <rPr>
        <sz val="9"/>
        <rFont val="Calibri"/>
        <family val="2"/>
        <scheme val="minor"/>
      </rPr>
      <t>Fourniture et pose de pièces de céramique émaille avec ciment colle sur enduit de mortier de ciment conforme aux exigences du matériau, tout compris (traçage, calibrage, coupes, chutes, renforcement d’angles avec profilés en inox, coulage de joints avec produit spécial, etc.)
Voir plans et détails spécifiques. Couleur des pièces, aussi comme distribution et dimension de joints soumises à l’approbation de la supervision.</t>
    </r>
  </si>
  <si>
    <r>
      <t xml:space="preserve">PEINTURE ACRYLIQUE 
</t>
    </r>
    <r>
      <rPr>
        <sz val="9"/>
        <rFont val="Calibri"/>
        <family val="2"/>
        <scheme val="minor"/>
      </rPr>
      <t>Fourniture et pose de peinture acrylique de intérieur/extérieur semi-gloss 100% « acrylic enamel » ou équivalent pour murs de blocs de béton, les murs en béton arme, les poutres et les colonnes en béton armé et les cloisons appliquée en trois couches, compris l’application de deux couches de scellant (couleur Ral 9003 à l'intérieur et Ral 7022 a l'extérieur), Application suivant la technique préconisée par le fabricant. Tout compris, ponçage toutes fournitures et sujétions comprises telles, échafaudage, et autres.</t>
    </r>
  </si>
  <si>
    <r>
      <t xml:space="preserve">ISOLATION THERMIQUE
</t>
    </r>
    <r>
      <rPr>
        <sz val="9"/>
        <rFont val="Calibri"/>
        <family val="2"/>
        <scheme val="minor"/>
      </rPr>
      <t>Fourniture et installation d’isolation thermique de laine de roche en rouleau avec revêtement d’un pare-vapeur polyéthylène sur faux plafond, tout compris.
Caractéristiques de l’isolement : épaisseur 100mm, densité 22-27Kg/m3, conductivité thermique 0,040W/mK 
Mise en œuvre selon le cahier technique et recommandations du fabricant.</t>
    </r>
  </si>
  <si>
    <r>
      <t xml:space="preserve">FAUX PLAFOND EN PANNEAU DE BOIS CONTREPLAQUÉ
</t>
    </r>
    <r>
      <rPr>
        <sz val="9"/>
        <rFont val="Calibri"/>
        <family val="2"/>
        <scheme val="minor"/>
      </rPr>
      <t>Fourniture et mise en œuvre de faux plafond en panneau de bois contreplaqué type Plywood de 15/18mm d’épaisseur, suspendu de la structure de la toiture avec une ossature légère composé de rails de profils en tube d’acier de 50x50x2mm, fixation avec vis autoperceuses. 
Finition avec vernis satiné incolore à base acrylique aqueux microporeuse, hydrofuge, antibleu et fongicide, appliqué en trois couches croisées (préalablement en usine), tout compris 
Voir plan et détails spécifiques. Découpage de planches et mesures distribution et type de joints à définir et valider sur chantier par la supervision.</t>
    </r>
  </si>
  <si>
    <r>
      <rPr>
        <b/>
        <sz val="10"/>
        <rFont val="Calibri"/>
        <family val="2"/>
        <scheme val="minor"/>
      </rPr>
      <t xml:space="preserve">FENÊTRE À LAMES DE VITRE ORIENTABLES
</t>
    </r>
    <r>
      <rPr>
        <sz val="9"/>
        <rFont val="Calibri"/>
        <family val="2"/>
        <scheme val="minor"/>
      </rPr>
      <t>Fourniture et montage de fenêtres à lames de vitre orientables de 6mm d’épaisseur, nombre d’opérateurs en papillon JW selon hauteur, sur encadrement en aluminium gris RAL 7022 ou bronze ancré avec fixations mécaniques, tout compris (tubs rectangulaires en acier pour fixation, plaque de fer pliée pour le revêtement des piliers, gouttière d’autres petits profils en aluminium de la même couleur, etc.)
Voir plan et détailles spécifiques. Mesures à valider sur chantier avec la supervision.</t>
    </r>
  </si>
  <si>
    <r>
      <rPr>
        <b/>
        <sz val="10"/>
        <color theme="1"/>
        <rFont val="Calibri"/>
        <family val="2"/>
        <scheme val="minor"/>
      </rPr>
      <t xml:space="preserve">CLOISONS EN POLYCARBONATE
</t>
    </r>
    <r>
      <rPr>
        <sz val="9"/>
        <color theme="1"/>
        <rFont val="Calibri"/>
        <family val="2"/>
        <scheme val="minor"/>
      </rPr>
      <t>Fourniture et mise en œuvre de cloison de plaques planes en polycarbonate alvéolaire claire, épaisseur 10mm et double paroi, avec protection contre les rayons UV sur la face extérieure, visés sur structure métallique d’acier galvanisé formée par profils verticaux rectangulaires d’acier galvanisé 50x100x2mm/2x4x1/10” et horizontaux en L 30x45x2mm, fixés à la structure du bâtiment. Elément de construction fini complètement, tout compris (angles L pour l’ancrage de la structure, clous en nylon, vis pour fixations mécaniques, soudures, ruban adhésif lisse sur le périmètre supérieur des plaques de polycarbonate, microperforé sur l’inférieur, profils en U aux jonctions des plaques, en U sur le périmètre, etc.
Mise en œuvre d’ossature et plaques de polycarbonate suivant le cahier technique et recommandations du fabricant. 
Voir plans de distribution et détails. Mesures et mise en œuvre à valider sur chantier par la supervision.</t>
    </r>
  </si>
  <si>
    <r>
      <rPr>
        <b/>
        <sz val="10"/>
        <rFont val="Calibri"/>
        <family val="2"/>
        <scheme val="minor"/>
      </rPr>
      <t xml:space="preserve">GRILLE DE SECURITÉ
</t>
    </r>
    <r>
      <rPr>
        <sz val="9"/>
        <rFont val="Calibri"/>
        <family val="2"/>
        <scheme val="minor"/>
      </rPr>
      <t>Fourniture et mise en œuvre de grille d’acier avec barres carres horizontales de 12x12mm/1/2x1/2” soudées à cadre, ensemble ancré avec fixations mécaniques ou soudure, tout compris.
Peinture de la grille d’acier avec émail synthétique, couleur gris RAL 7022, avec une première couche primaire de protection antioxydante sans plomb et deux couches de finition, tout inclus (grattage des oxydes, nettoyage, application de mastic aux têtes des vis, moyens auxiliaires, etc.)
Voir plan et détails spécifiques. Mesures à valider sur chantier avec la supervision.</t>
    </r>
  </si>
  <si>
    <r>
      <t xml:space="preserve">CLOISONS EN PANNEAU STRATIFIÉ COMPACT
</t>
    </r>
    <r>
      <rPr>
        <sz val="9"/>
        <rFont val="Calibri"/>
        <family val="2"/>
        <scheme val="minor"/>
      </rPr>
      <t>Fourniture et mise en œuvre de cloison de panneau stratifié haute pression type HPL Compact de 10mm d’épaisseur, couleur blanc RAL 9010. Elément de construction finie complètement, tout compris (portes, charnières, serrures, pieds, angles U et L en acier inox pour l’ancrage de la structure, vis pour fixations mécaniques, colle de polyuréthane, etc.
Mise en œuvre d’ossature et plaques de polycarbonate suivant le cahier technique et utilisant les accessoires du fabricant. 
Voir plans de distribution et détails. Mesures et mise en œuvre à valider sur chantier par la supervision.</t>
    </r>
  </si>
  <si>
    <r>
      <t xml:space="preserve">REVETEMENT DE TOITURE EN POLYCARBONATE
</t>
    </r>
    <r>
      <rPr>
        <sz val="9"/>
        <rFont val="Calibri"/>
        <family val="2"/>
        <scheme val="minor"/>
      </rPr>
      <t>Fourniture et mise en œuvre du revêtement de toiture en plaques planes en polycarbonate alvéolaire claire, épaisseur 10mm et double paroi, avec protection contre les rayons UV sur la face extérieure, visé avec fixations mécaniques spéciales aux solives, pour en ensemble qui garanti l’étanchéité a l’intérieur du bâtiment, tout compris (faitières et arêtiers avec pièces spéciales de la couleur de la tôle et du même fournisseur, profils L de finition en aluminium de la même couleur, grille antivolatiles, etc.
Voir information, spécifications et détails dans les plans d’structure et architecture. Mise en œuvre suivant le cahier technique et recommandations du fabricant. Couleur à définir par la supervision.</t>
    </r>
  </si>
  <si>
    <t>USD/m2</t>
  </si>
  <si>
    <t>Total Surface Construite</t>
  </si>
  <si>
    <t>TOTAL USD</t>
  </si>
  <si>
    <t>dortoir</t>
  </si>
  <si>
    <t>auditorium</t>
  </si>
  <si>
    <t>salle de classe</t>
  </si>
  <si>
    <t>local technique + depot + logement gardien</t>
  </si>
  <si>
    <r>
      <t xml:space="preserve">DEVIS ESTIMATIF - Centre de Formation Professionnelle des Cayes
</t>
    </r>
    <r>
      <rPr>
        <b/>
        <sz val="11"/>
        <color theme="1"/>
        <rFont val="Calibri"/>
        <family val="2"/>
        <scheme val="minor"/>
      </rPr>
      <t>DORTOIR</t>
    </r>
  </si>
  <si>
    <t>inspectorat</t>
  </si>
  <si>
    <t>administración</t>
  </si>
  <si>
    <r>
      <t xml:space="preserve">DEVIS ESTIMATIF - Centre de Formation Professionnelle des Cayes
</t>
    </r>
    <r>
      <rPr>
        <b/>
        <sz val="11"/>
        <color theme="1"/>
        <rFont val="Calibri"/>
        <family val="2"/>
        <scheme val="minor"/>
      </rPr>
      <t>INSPECTORAT</t>
    </r>
  </si>
  <si>
    <r>
      <t xml:space="preserve">DEVIS ESTIMATIF - Centre de Formation Professionnelle des Cayes
</t>
    </r>
    <r>
      <rPr>
        <b/>
        <sz val="11"/>
        <color theme="1"/>
        <rFont val="Calibri"/>
        <family val="2"/>
        <scheme val="minor"/>
      </rPr>
      <t>ADMINISTRATION</t>
    </r>
  </si>
  <si>
    <t>INFP</t>
  </si>
  <si>
    <t>ADMIN</t>
  </si>
  <si>
    <r>
      <t xml:space="preserve">DEVIS ESTIMATIF - Centre de Formation Professionnelle des Cayes
</t>
    </r>
    <r>
      <rPr>
        <b/>
        <sz val="11"/>
        <color theme="1"/>
        <rFont val="Calibri"/>
        <family val="2"/>
        <scheme val="minor"/>
      </rPr>
      <t>EXPOSITION (-AUDITORIUM-)</t>
    </r>
  </si>
  <si>
    <r>
      <t xml:space="preserve">DEVIS ESTIMATIF - Centre de Formation Professionnelle des Cayes
</t>
    </r>
    <r>
      <rPr>
        <b/>
        <sz val="11"/>
        <color theme="1"/>
        <rFont val="Calibri"/>
        <family val="2"/>
        <scheme val="minor"/>
      </rPr>
      <t>AUDITORIUM (-EXPOSITION-)</t>
    </r>
  </si>
  <si>
    <t>exposition</t>
  </si>
  <si>
    <r>
      <t xml:space="preserve">DEVIS ESTIMATIF - Centre de Formation Professionnelle des Cayes
</t>
    </r>
    <r>
      <rPr>
        <b/>
        <sz val="11"/>
        <color theme="1"/>
        <rFont val="Calibri"/>
        <family val="2"/>
        <scheme val="minor"/>
      </rPr>
      <t>ATELIER (S - Small)</t>
    </r>
  </si>
  <si>
    <t>atelier (s) --- (2 ateliers)</t>
  </si>
  <si>
    <t>atelier (l) --- (2 ateliers)</t>
  </si>
  <si>
    <r>
      <t xml:space="preserve">DEVIS ESTIMATIF - Centre de Formation Professionnelle des Cayes
</t>
    </r>
    <r>
      <rPr>
        <b/>
        <sz val="11"/>
        <color theme="1"/>
        <rFont val="Calibri"/>
        <family val="2"/>
        <scheme val="minor"/>
      </rPr>
      <t>ATELIER (L - Large)</t>
    </r>
  </si>
  <si>
    <r>
      <t xml:space="preserve">DEVIS ESTIMATIF - Centre de Formation Professionnelle des Cayes
</t>
    </r>
    <r>
      <rPr>
        <b/>
        <sz val="11"/>
        <color theme="1"/>
        <rFont val="Calibri"/>
        <family val="2"/>
        <scheme val="minor"/>
      </rPr>
      <t>SALLE DE CLASSES</t>
    </r>
  </si>
  <si>
    <t>salle de technologie --- (2 salles de tech.)</t>
  </si>
  <si>
    <t>bloc sanitaire --- (2 blocs)</t>
  </si>
  <si>
    <r>
      <t>BÉTON ARMÉ DALLE PLANCHER DE TOITURE (ESCALIER)</t>
    </r>
    <r>
      <rPr>
        <sz val="10"/>
        <rFont val="Calibri"/>
        <family val="2"/>
        <scheme val="minor"/>
      </rPr>
      <t xml:space="preserve">
</t>
    </r>
    <r>
      <rPr>
        <sz val="9"/>
        <rFont val="Calibri"/>
        <family val="2"/>
        <scheme val="minor"/>
      </rPr>
      <t>Fourniture et mise en œuvre du béton de 31MPa résistance à la compression minimum conforme aux plans structurels. Béton banché finition brut lisse (apparent), dont la surface doit être totalement homogène et coins homogènes biseautés à 45º 2cm. On ne permet pas les ragréages, donc les surfaces ne doivent pas présenter aucune aspérité, bulles d'air, nids d’abeilles, fissures ou autres imperfections. Il aura un béton de 31MPa résistance à la compression minimum conforme aux plans structurels.
Comprenant la fourniture et fabrication des armatures, les matériaux, le matériel de travail, le coffrage, la main d'œuvre et toutes sujétions de mise en œuvre.</t>
    </r>
  </si>
  <si>
    <r>
      <t xml:space="preserve">DEVIS ESTIMATIF - Centre de Formation Professionnelle des Cayes
</t>
    </r>
    <r>
      <rPr>
        <b/>
        <sz val="11"/>
        <color theme="1"/>
        <rFont val="Calibri"/>
        <family val="2"/>
        <scheme val="minor"/>
      </rPr>
      <t>SALLE DE TECHNOLOGIE</t>
    </r>
  </si>
  <si>
    <r>
      <t xml:space="preserve">DEVIS ESTIMATIF - Centre de Formation Professionnelle des Cayes
</t>
    </r>
    <r>
      <rPr>
        <b/>
        <sz val="11"/>
        <color theme="1"/>
        <rFont val="Calibri"/>
        <family val="2"/>
        <scheme val="minor"/>
      </rPr>
      <t>BLOCS SANITAIRES</t>
    </r>
  </si>
  <si>
    <r>
      <t xml:space="preserve">DEVIS ESTIMATIF - Centre de Formation Professionnelle des Cayes
</t>
    </r>
    <r>
      <rPr>
        <b/>
        <sz val="11"/>
        <color theme="1"/>
        <rFont val="Calibri"/>
        <family val="2"/>
        <scheme val="minor"/>
      </rPr>
      <t>LOCAL TECHNIQUE + DEPOT + LOGEMENT GARDIEN</t>
    </r>
  </si>
  <si>
    <t>EXPO</t>
  </si>
  <si>
    <r>
      <t xml:space="preserve">REVÊTEMENT ADOQUINS DE FORMAT HEXAGONAL PREFABRIQUES EN BETON 
</t>
    </r>
    <r>
      <rPr>
        <sz val="9"/>
        <rFont val="Calibri"/>
        <family val="2"/>
        <scheme val="minor"/>
      </rPr>
      <t>Bicouche comprimé R.0.13m. Revêtement continu et homogène de couleur grise nuancée selon plans y compris ponctuation de pavés vernissés de couleur 1/m². Ce carreau bicouche comprimé présente une épaisseur de 7 ou 8 centimètres. On le pose sur un lit de sable compacté de 3 à 5 centimètres d’épaisseur, étendu à son tour sur un fonçage à sec à base de gravillon de 5cm d'épaisseur. Inclus BORDURE EN BETON POUR TROTTOIR DE 0.15x0.1M 
béton dosé à 350 kg par mètre cube conforme aux spécifications techniques. Cet item, comprenant les matériaux, le coffrage, décoffrage, les armatures, la main d'œuvre et toutes sujétions de mise en œuvre.</t>
    </r>
  </si>
  <si>
    <t>FFT</t>
  </si>
  <si>
    <t>VRD</t>
  </si>
  <si>
    <r>
      <t xml:space="preserve">REVÊTEMENT TERRE VÉGÉTALE 
</t>
    </r>
    <r>
      <rPr>
        <sz val="9"/>
        <rFont val="Calibri"/>
        <family val="2"/>
        <scheme val="minor"/>
      </rPr>
      <t>Sur tous les espaces jardinières et fosses d'arbres (sur 50cm minimum dans les espaces plantés). Compris une couche de 10 cm de terre végétale purement organique et une couverture de sol forment un tapis vert de gazons pour l’aménagement paysager.</t>
    </r>
  </si>
  <si>
    <r>
      <t xml:space="preserve">CLÔTURE DE MAILLES 
</t>
    </r>
    <r>
      <rPr>
        <sz val="9"/>
        <rFont val="Calibri"/>
        <family val="2"/>
        <scheme val="minor"/>
      </rPr>
      <t>Maille de format de 6’ de couleur vert, combin’ee avec des poteaux galvanisés espacés aux 3ml de façon symétrique, selon la mesure du côté à clôturer. Fondation selon plans, semelle isole en béton arme de 40x40x40cm. Compris toutes fournitures et sujétions de mise en œuvre.</t>
    </r>
  </si>
  <si>
    <r>
      <t xml:space="preserve">REVÊTEMENT TERRE BATTUE TERRAIN D'SPORT
</t>
    </r>
    <r>
      <rPr>
        <sz val="9"/>
        <rFont val="Calibri"/>
        <family val="2"/>
        <scheme val="minor"/>
      </rPr>
      <t>Support en gravier drainant, sous-couche pour stabilisation sur laquelle est mis en œuvre une chape de terre battue, compactée. Compris toutes fournitures et sujétions de mise en œuvre.</t>
    </r>
  </si>
  <si>
    <r>
      <t xml:space="preserve">DEVIS ESTIMATIF - Centre de Formation Professionnelle des Cayes
</t>
    </r>
    <r>
      <rPr>
        <b/>
        <sz val="11"/>
        <color theme="1"/>
        <rFont val="Calibri"/>
        <family val="2"/>
        <scheme val="minor"/>
      </rPr>
      <t>VRD - VOIRIE ET LES RÉSEAUX DIVERS</t>
    </r>
  </si>
  <si>
    <t>voirie et les réseaux divers - VRD</t>
  </si>
  <si>
    <r>
      <t xml:space="preserve">REVÊTEMENT GRAVIER ROULE
</t>
    </r>
    <r>
      <rPr>
        <sz val="10"/>
        <rFont val="Calibri"/>
        <family val="2"/>
        <scheme val="minor"/>
      </rPr>
      <t>S</t>
    </r>
    <r>
      <rPr>
        <sz val="9"/>
        <rFont val="Calibri"/>
        <family val="2"/>
        <scheme val="minor"/>
      </rPr>
      <t>tabilisation mis en œuvre une couche de gravier roulé stabilisé. Compris toutes fournitures et sujétions de mise en œuvre.</t>
    </r>
  </si>
  <si>
    <r>
      <t xml:space="preserve">FONÇAGE À SEC À BASE DE GRAVILLON </t>
    </r>
    <r>
      <rPr>
        <sz val="9"/>
        <rFont val="Calibri"/>
        <family val="2"/>
      </rPr>
      <t>de 10cms d'épaisseur sous semelles filantes y compris toutes fournitures et sujétions de mise en œuvre.</t>
    </r>
  </si>
  <si>
    <r>
      <t xml:space="preserve">BÉTON DE PROPRETÉ 
</t>
    </r>
    <r>
      <rPr>
        <sz val="9"/>
        <rFont val="Calibri"/>
        <family val="2"/>
      </rPr>
      <t>Fourniture et mise en œuvre de béton maigre non structurel coulé sur le fonçage du gravillon, épaisseur 5cm, tout compris.
Voir plans et détailles de fondation. Niveaux à valider par la supervision.</t>
    </r>
  </si>
  <si>
    <r>
      <t xml:space="preserve">BÉTON ARMÉ POUR POUTRES 
</t>
    </r>
    <r>
      <rPr>
        <sz val="9"/>
        <rFont val="Calibri"/>
        <family val="2"/>
      </rPr>
      <t>Fourniture et mise en œuvre de béton armé pour poutres, résistance à la compression 31MPa, tout compris (matériaux, coffrage, fabrication d’armatures, matériel accessoire, main d’œuvre, etc.).
Béton banché finition brute lisse (apparent), avec surfaces totalement homogènes (sans aspérités, bulles d'air, nids d’abeilles, fissures ou autres imperfections, les ragréages ne sont pas permis) et arrêtes biseautées (2cm à 45º).
Caractéristiques du béton et des armatures, et spécifications techniques de mise en œuvre, conformes aux plans de structure. Voir plans et détails de structure.</t>
    </r>
  </si>
  <si>
    <r>
      <rPr>
        <b/>
        <sz val="10"/>
        <rFont val="Calibri"/>
        <family val="2"/>
      </rPr>
      <t xml:space="preserve">PORTE BATTANTE METALLIQUE
</t>
    </r>
    <r>
      <rPr>
        <sz val="9"/>
        <rFont val="Calibri"/>
        <family val="2"/>
      </rPr>
      <t>Fourniture et installation de porte battante de double feuille, de dimensions 1660*2100 mm avec structure en tube d’acier de 50x100x2mm/2x4” sur encadrement en profils cornières L 60x30x3mm, ancrés à la structure de support du cerramiento, avec un revêtement extérieur de plaque en acier de 1,5 mm d'épaisseur, couleur RAL 7022, fixé sur la structure de la porte avec une soudure. Élément de construction fini complètement, tout compris (serrure avec poignée en aluminium anodisé, quatre charnières haute qualité pour souder, etc.)
Voir plan et détails spécifiques. Mesures à valider sur chantier avec la supervision.</t>
    </r>
  </si>
  <si>
    <r>
      <t xml:space="preserve">PEINTURE ACRYLIQUE 
</t>
    </r>
    <r>
      <rPr>
        <sz val="9"/>
        <rFont val="Calibri"/>
        <family val="2"/>
      </rPr>
      <t>Fourniture et pose de peinture acrylique de intérieur/extérieur semi-gloss 100% « acrylic enamel » ou équivalent pourstructure métallique en acier  appliquée en trois couches, compris l’application de deux couches de scellant (couleur Ral 9003 à l'intérieur et Ral 7022 a l'extérieur), Application suivant la technique préconisée par le fabricant. Tout compris, ponçage toutes fournitures et sujétions comprises telles, échafaudage, et autres.</t>
    </r>
  </si>
  <si>
    <t>Suministro y montaje de cinta LED tipo SMD 5050, de 110V con lámpara de color 2700k y 60 LED/mt., IP 20, colocada en interior de manguera de protección de 10 mm. Incluye cable de alimentación AC a DC, clip de sujección SMD 5050/48 y terminal y tapa final de protección.</t>
  </si>
  <si>
    <t>totem</t>
  </si>
  <si>
    <t>unit.</t>
  </si>
  <si>
    <r>
      <t xml:space="preserve">LAMPADAIRES SOLAIRERS AUTONOMES.
</t>
    </r>
    <r>
      <rPr>
        <sz val="9"/>
        <rFont val="Calibri"/>
        <family val="2"/>
        <scheme val="minor"/>
      </rPr>
      <t>Approvisionnement et assemblage de lampadaires solaires autonomes constitués d'un màt de 7 mts., d'un module photovoltaique de 100W, bateries de 12V, 2*98Ah, étanches type gel dans una cage métallique ou en béton selon le matériau qui présente le milleur avantage thecnique et financier. La hauteur totale du mát doit permettre le posicionamnet du foyer du luminaire à 6 mts au dessus du sol selon qu'il sera planté dans le sol (béton) ou posé sur socle (métal) et de placer facilement le module solaire et les bateries.. L'ensemble màt, module solaire, batteries et luminaire doit pouvoir réister aux vents d'ouragan de catégorie IV qui commencent à devenir fréquents dans la région. Cet article comprend la fourniture du matériel, le transport, la main d'ouvre et toutes suj´ctions de misee en ouvre.</t>
    </r>
  </si>
  <si>
    <r>
      <t xml:space="preserve">LAMPADAIRES SOLAIRERS AUTONOMES.
</t>
    </r>
    <r>
      <rPr>
        <sz val="9"/>
        <rFont val="Calibri"/>
        <family val="2"/>
        <scheme val="minor"/>
      </rPr>
      <t>Approvisionnement et assemblage de lampadaires solaires autonomes constitués d'un màt de 3,6 mts., d'un module photovoltaique de 100W, bateries de 12V, 2*98Ah, étanches type gel dans una cage métallique ou en béton selon le matériau qui présente le milleur avantage thecnique et financier. La hauteur totale du mát doit permettre le posicionamnet du foyer du luminaire à 6 mts au dessus du sol selon qu'il sera planté dans le sol (béton) ou posé sur socle (métal) et de placer facilement le module solaire et les bateries.. L'ensemble màt, module solaire, batteries et luminaire doit pouvoir réister aux vents d'ouragan de catégorie IV qui commencent à devenir fréquents dans la région. Cet article comprend la fourniture du matériel, le transport, la main d'ouvre et toutes suj´ctions de misee en ouvre.</t>
    </r>
  </si>
  <si>
    <r>
      <t xml:space="preserve">BÉTON ARMÉ FONDATION EN DALLE FLOTTANTE
</t>
    </r>
    <r>
      <rPr>
        <sz val="9"/>
        <rFont val="Calibri"/>
        <family val="2"/>
      </rPr>
      <t>Dalle flottante monolithique (large plaque de béton – dalle radier) servant de plancher qui repose sur une couche de fonçage à sec à base de gravillon de 15 cm d'épaisseur sous dalle, et du remblai structurel d’épaisseur de 75 cm minimum. Aura un béton de résistance à la compression de 31 MPa conforme aux spécifications techniques des Plans de Structures et des Coupes des fondations. L’épaisseur de la dalle est modifiée sous chaque-une des colonnes et murs (semelles et poutres de fondation - voir dimensions dans le plans), il est nécessaire d’utiliser du béton de propreté pour créer la forme définit aux plans (béton maigre non structurel coulé sur le fonçage du gravillon, épaisseur 5 cm).
Caractéristiques de béton et d’armatures, et spécifications techniques de mise en œuvre, conformes aux plans de structure. Voir plans et détails de structure. Tout compris (matériaux, coffrage, fabrication d’armatures, matériel accessoire, main d’œuvre, etc.)</t>
    </r>
  </si>
  <si>
    <r>
      <t xml:space="preserve">EXCAVATION ET FONCAGE POUR LA FONDATION </t>
    </r>
    <r>
      <rPr>
        <sz val="9"/>
        <rFont val="Calibri"/>
        <family val="2"/>
      </rPr>
      <t>(Fouilles pour la fondation et du remblai structurel y compris toutes sujétions d'extraction, d'exécution de redans, de réglage des fonds de fouilles, jets de toute espèce, éloignement des terres, enlèvement de l'excédent y compris fourniture, pose et dépose des blindages, étais, étrésillons, épuisement s'il y a lieu, location de pompes et toute main-d'œuvre, et accessoires.)</t>
    </r>
  </si>
  <si>
    <r>
      <t xml:space="preserve">REVÊTEMENT DE SOL STABILISE
</t>
    </r>
    <r>
      <rPr>
        <sz val="9"/>
        <rFont val="Calibri"/>
        <family val="2"/>
        <scheme val="minor"/>
      </rPr>
      <t>Mélange de sables, de fines et de liant. On le pose sur un lit de sable compact. Cet item, comprenant les matériaux, le compactage, la main d'œuvre et toutes sujétions de mise en œuvre.</t>
    </r>
  </si>
  <si>
    <r>
      <t xml:space="preserve">BANCS EN MAÇONNERIE DE BLOCS DE BETON 45x85cm. FONDATION 
</t>
    </r>
    <r>
      <rPr>
        <sz val="9"/>
        <rFont val="Calibri"/>
        <family val="2"/>
        <scheme val="minor"/>
      </rPr>
      <t>Fourniture et mise en œuvre des bancs en blocs de béton de 40x20x20cm et résistance à la compression 10MPa, rempli au mortier dosé à 250 kg de CPA/m3. Fondation de semelle filante en béton armé de 20MPa et fonçage à sec à base de gravillon de 10cms d'épaisseur sous semelles. Assise du banc en béton à haute performance de 50mm d’épaisseur; appliquer un enduit de lissage dans toutes les faces. Tout compris (matériaux, coffrage, fabrication d’armatures, matériel accessoire, main d’œuvre, etc.)</t>
    </r>
  </si>
  <si>
    <r>
      <t xml:space="preserve">PORTAIL D’ACCES EN ACIER SOUDE
</t>
    </r>
    <r>
      <rPr>
        <sz val="9"/>
        <rFont val="Calibri"/>
        <family val="2"/>
        <scheme val="minor"/>
      </rPr>
      <t>Avec des montants de 60x60x3mm; traverses haute et intermédiaire de 60x60x3mm; traverse basse de 100x60x3mm; barreaux en tube rond de 20x2mm; tôle de remplissage de 3 mm d'épaisseur et remplissage en bois de pine traité sous pression de 5x10cm. Compris toutes fournitures et sujétions de mise en œuvre.</t>
    </r>
  </si>
  <si>
    <r>
      <t xml:space="preserve">BÉTON ARMÉ POUR COLONNES ET MUR DE CONTREVETEMENT
</t>
    </r>
    <r>
      <rPr>
        <sz val="9"/>
        <rFont val="Calibri"/>
        <family val="2"/>
      </rPr>
      <t>Fourniture et mise en œuvre de béton armé pour les colonnes et le mur de contreventement en cisaillement en béton arme; résistance à la compression 31MPa, tout compris (matériaux, coffrage, fabrication d’armatures, matériel accessoire, main d’œuvre, etc.).
Béton banché finition brute lisse (apparent), avec surfaces totalement homogènes (sans aspérités, bulles d'air, nids d’abeilles, fissures ou autres imperfections, les ragréages ne sont pas permis) et arrêtes biseautées (2cm à 45º).
Caractéristiques de béton et d’armatures, et spécifications techniques de mise en œuvre, conformes aux plans de structure. Voir plans et détails de structure.</t>
    </r>
  </si>
  <si>
    <r>
      <t xml:space="preserve">BÉTON ARMÉ POUR DALLE PLANCHER DE 25CM 
</t>
    </r>
    <r>
      <rPr>
        <sz val="9"/>
        <rFont val="Calibri"/>
        <family val="2"/>
      </rPr>
      <t>Fourniture et mise en œuvre de béton armé pour poutres, résistance à la compression 31MPa, tout compris (matériaux, coffrage, fabrication d’armatures, matériel accessoire, main d’œuvre, etc.).
Béton banché finition brute lisse (apparent), avec surfaces totalement homogènes (sans aspérités, bulles d'air, nids d’abeilles, fissures ou autres imperfections, les ragréages ne sont pas permis) et arrêtes biseautées (2cm à 45º).
Caractéristiques du béton et des armatures, et spécifications techniques de mise en œuvre, conformes aux plans de structure. Voir plans et détails de structure.</t>
    </r>
  </si>
  <si>
    <r>
      <t xml:space="preserve">MAÇONNERIE DE BLOCS DE BETON
</t>
    </r>
    <r>
      <rPr>
        <sz val="9"/>
        <rFont val="Calibri"/>
        <family val="2"/>
      </rPr>
      <t>Fourniture et mise en œuvre de murs de blocs de béton de 40x20x20cm et résistance à la compression 14MPa, rempli au mortier dosé à 250 kg de CPA/m3, tout compris (matériaux, coffrage, fabrication d’armatures, matériel accessoire, main d’œuvre, etc.)
Les deux faces du mur sans revêtement et avec une surface totalement homogène (blocs cassés, ébréchés ou avec d’autres imperfections no seront pas acceptés), utilisation de pièces spéciales de boc de béton aux jambages d’ouvertures et couronnement de murs, et rejointoiement des blocs au mortier fin.
Murs à calibrer en largeur à 20cm pour la mise en œuvre d’un demi-bloc, en hauteur pour un nombre entier de blocs. Disposition de blocs soumise à validation de la supervision. 
Voir plans de structures, architecture et détails spécifiques.</t>
    </r>
  </si>
  <si>
    <r>
      <t xml:space="preserve">SOL CIRÉ 
</t>
    </r>
    <r>
      <rPr>
        <sz val="9"/>
        <rFont val="Calibri"/>
        <family val="2"/>
        <scheme val="minor"/>
      </rPr>
      <t>Sol ciré pour le reste des espaces.
Finition dalles en béton ciré et teintés (selon indication de la supervision), lavables à l’eau et au savon. Avec une tolérance maximum de 0,25%. Dalle monolithique en béton armé de 60mm d'épaisseur. La dalle doive avoir une finition avec une truelle mécanique (hélicoptère).</t>
    </r>
  </si>
  <si>
    <r>
      <rPr>
        <b/>
        <sz val="10"/>
        <rFont val="Calibri"/>
        <family val="2"/>
        <scheme val="minor"/>
      </rPr>
      <t>SOL TERRAZZO EPOXY COULE ET PONCE IN SITU / GRANITO</t>
    </r>
    <r>
      <rPr>
        <sz val="9"/>
        <rFont val="Calibri"/>
        <family val="2"/>
        <scheme val="minor"/>
      </rPr>
      <t xml:space="preserve">
Mise en œuvre du Terrazzo / Granito avec une couche de masse de type mortier taloché incluant le gravier et le liant, s’applique manuellement, sur un primaire poisseux non solvanté. L’épaisseur initiale est de 9 à 12 mm. L’usage d’un hélicoptère à pales métalliques permet ensuite de lisser le mortier. Après 24 à 48 heures peuvent être entreprises les opérations de dégrossissage, ponçage, nettoyage à l’eau, bouche-porage, ponçage de finition. La surface ainsi obtenue a une épaisseur d’environ 7 mm (max). Tout compris, ponçage toutes fournitures et sujétions comprises telles, échafaudage, et autres.</t>
    </r>
  </si>
  <si>
    <r>
      <rPr>
        <b/>
        <sz val="10"/>
        <rFont val="Calibri"/>
        <family val="2"/>
      </rPr>
      <t>REVETEMENT DE FACADES EN STRUCTURE METALLIQUE ET PLAQUE DE POLYCARBONATE</t>
    </r>
    <r>
      <rPr>
        <sz val="10"/>
        <rFont val="Calibri"/>
        <family val="2"/>
      </rPr>
      <t xml:space="preserve">
</t>
    </r>
    <r>
      <rPr>
        <sz val="9"/>
        <rFont val="Calibri"/>
        <family val="2"/>
      </rPr>
      <t>Fourniture et mise en œuvre de revetement avec de plaques en tole lise de 3mm d'épaisseur, visés sur structure métallique d’acier galvanisé formée par profils, fixés à la structure du bâtiment. Elément de construction fini complètement, tout compris (angles L pour l’ancrage de la structure, clous en nylon, vis pour fixations mécaniques, soudures, etc).
Mise en œuvre d’ossature et plaques de polycarbonate suivant le cahier technique et recommandations du fabricant. 
Voir plans de distribution et détails. Mesures et mise en œuvre à valider sur chantier par la supervision.</t>
    </r>
  </si>
  <si>
    <r>
      <rPr>
        <b/>
        <sz val="10"/>
        <rFont val="Calibri"/>
        <family val="2"/>
      </rPr>
      <t>REVETEMENT DE FACADES EN STRUCTURE METALLIQUE ET PLAQUE DE POLYCARBONATE</t>
    </r>
    <r>
      <rPr>
        <sz val="10"/>
        <rFont val="Calibri"/>
        <family val="2"/>
      </rPr>
      <t xml:space="preserve">
</t>
    </r>
    <r>
      <rPr>
        <sz val="9"/>
        <rFont val="Calibri"/>
        <family val="2"/>
      </rPr>
      <t>Fourniture et mise en œuvre de revetement avec de plaques planes en polycarbonate alvéolaire claire, épaisseur 15mm et double paroi, avec protection contre les rayons UV sur la face extérieure, visés sur structure métallique d’acier galvanisé formée par profils, fixés à la structure du bâtiment. Elément de construction fini complètement, tout compris (angles L pour l’ancrage de la structure, clous en nylon, vis pour fixations mécaniques, soudures, ruban adhésif lisse sur le périmètre supérieur des plaques de polycarbonate, microperforé sur l’inférieur, profils en U aux jonctions des plaques, en U sur le périmètre, etc.)
Mise en œuvre d’ossature et plaques de polycarbonate suivant le cahier technique et recommandations du fabricant. 
Voir plans de distribution et détails. Mesures et mise en œuvre à valider sur chantier par la supervision.</t>
    </r>
  </si>
  <si>
    <r>
      <rPr>
        <b/>
        <sz val="10"/>
        <rFont val="Calibri"/>
        <family val="2"/>
      </rPr>
      <t xml:space="preserve">ECHELLE VERTICAL FIXE
</t>
    </r>
    <r>
      <rPr>
        <sz val="9"/>
        <rFont val="Calibri"/>
        <family val="2"/>
      </rPr>
      <t>Fourniture et installation de echelle vertical metallique avec des elements de diamètre 16 mm, longueur 316 mm et jamicartement de 240 mm et fabriquée sur mesure. Placé avec la résine de résine époxy précédente formation de forage. Élément de construction fini complètement, tout compris. Voir plan et détails spécifiques. Mesures à valider sur chantier avec la supervision.</t>
    </r>
  </si>
  <si>
    <r>
      <t xml:space="preserve">ENSEIGNE LETTRES POUR FAÇADE. </t>
    </r>
    <r>
      <rPr>
        <sz val="10"/>
        <rFont val="Calibri"/>
        <family val="2"/>
      </rPr>
      <t>Fabricant d'enseignes et de supports de signalétique avec des plaques metalliques de 6mm d'epaisseur selon plans.</t>
    </r>
  </si>
  <si>
    <r>
      <t xml:space="preserve">DEVIS ESTIMATIF - Centre de Formation Professionnelle des Cayes
</t>
    </r>
    <r>
      <rPr>
        <b/>
        <sz val="11"/>
        <color theme="1"/>
        <rFont val="Calibri"/>
        <family val="2"/>
        <scheme val="minor"/>
      </rPr>
      <t>TOTEM</t>
    </r>
  </si>
  <si>
    <t>1.1</t>
  </si>
  <si>
    <t>2.2</t>
  </si>
  <si>
    <t>8.8</t>
  </si>
  <si>
    <t>1.2</t>
  </si>
  <si>
    <t>1.3</t>
  </si>
  <si>
    <t>1.4</t>
  </si>
  <si>
    <t>1.5</t>
  </si>
  <si>
    <t>1.6</t>
  </si>
  <si>
    <t>1.7</t>
  </si>
  <si>
    <t>1.8</t>
  </si>
  <si>
    <t>1.9</t>
  </si>
  <si>
    <t>1.10</t>
  </si>
  <si>
    <t>1.11</t>
  </si>
  <si>
    <t>1.12</t>
  </si>
  <si>
    <t>1.13</t>
  </si>
  <si>
    <t>1.14</t>
  </si>
  <si>
    <t>1.15</t>
  </si>
  <si>
    <t>1.16</t>
  </si>
  <si>
    <t>1.17</t>
  </si>
  <si>
    <t>1.18</t>
  </si>
  <si>
    <t>1.19</t>
  </si>
  <si>
    <t>1.20</t>
  </si>
  <si>
    <t>1.21</t>
  </si>
  <si>
    <t>1.22</t>
  </si>
  <si>
    <t>1.23</t>
  </si>
  <si>
    <t>1.24</t>
  </si>
  <si>
    <t>1.25</t>
  </si>
  <si>
    <t>1.26</t>
  </si>
  <si>
    <t>1.27</t>
  </si>
  <si>
    <t>2.1</t>
  </si>
  <si>
    <t>2.5</t>
  </si>
  <si>
    <t>2.6</t>
  </si>
  <si>
    <t>2.7</t>
  </si>
  <si>
    <t>2.8</t>
  </si>
  <si>
    <t>2.9</t>
  </si>
  <si>
    <t>2.10</t>
  </si>
  <si>
    <t>2.11</t>
  </si>
  <si>
    <t>2.12</t>
  </si>
  <si>
    <t>2.13</t>
  </si>
  <si>
    <t>2.14</t>
  </si>
  <si>
    <t>2.15</t>
  </si>
  <si>
    <t>2.16</t>
  </si>
  <si>
    <t>2.17</t>
  </si>
  <si>
    <t>2.18</t>
  </si>
  <si>
    <t>2.19</t>
  </si>
  <si>
    <t>2.20</t>
  </si>
  <si>
    <t>2.21</t>
  </si>
  <si>
    <t>2.22</t>
  </si>
  <si>
    <t>2.23</t>
  </si>
  <si>
    <t>2.24</t>
  </si>
  <si>
    <t>2.25</t>
  </si>
  <si>
    <t>2.26</t>
  </si>
  <si>
    <t>3.1</t>
  </si>
  <si>
    <t>3.2</t>
  </si>
  <si>
    <t>3.5</t>
  </si>
  <si>
    <t>3.6</t>
  </si>
  <si>
    <t>3.7</t>
  </si>
  <si>
    <t>3.8</t>
  </si>
  <si>
    <t>3.9</t>
  </si>
  <si>
    <t>3.10</t>
  </si>
  <si>
    <t>3.11</t>
  </si>
  <si>
    <t>3.12</t>
  </si>
  <si>
    <t>3.13</t>
  </si>
  <si>
    <t>3.14</t>
  </si>
  <si>
    <t>3.15</t>
  </si>
  <si>
    <t>3.16</t>
  </si>
  <si>
    <t>3.17</t>
  </si>
  <si>
    <t>3.18</t>
  </si>
  <si>
    <t>3.19</t>
  </si>
  <si>
    <t>3.20</t>
  </si>
  <si>
    <t>3.21</t>
  </si>
  <si>
    <t>3.22</t>
  </si>
  <si>
    <t>3.23</t>
  </si>
  <si>
    <t>3.24</t>
  </si>
  <si>
    <t>3.25</t>
  </si>
  <si>
    <t>3.26</t>
  </si>
  <si>
    <t>4.1</t>
  </si>
  <si>
    <t>4.4</t>
  </si>
  <si>
    <t>4.6</t>
  </si>
  <si>
    <t>4.3</t>
  </si>
  <si>
    <t>4.2</t>
  </si>
  <si>
    <t>4.5</t>
  </si>
  <si>
    <t>4.7</t>
  </si>
  <si>
    <t>4.8</t>
  </si>
  <si>
    <t>4.9</t>
  </si>
  <si>
    <t>4.10</t>
  </si>
  <si>
    <t>4.11</t>
  </si>
  <si>
    <t>4.12</t>
  </si>
  <si>
    <t>4.13</t>
  </si>
  <si>
    <t>4.14</t>
  </si>
  <si>
    <t>4.15</t>
  </si>
  <si>
    <t>4.16</t>
  </si>
  <si>
    <t>4.17</t>
  </si>
  <si>
    <t>4.18</t>
  </si>
  <si>
    <t>4.19</t>
  </si>
  <si>
    <t>4.20</t>
  </si>
  <si>
    <t>4.21</t>
  </si>
  <si>
    <t>4.22</t>
  </si>
  <si>
    <t>4.23</t>
  </si>
  <si>
    <t>4.24</t>
  </si>
  <si>
    <t>4.25</t>
  </si>
  <si>
    <t>5.1</t>
  </si>
  <si>
    <t>5.2</t>
  </si>
  <si>
    <t>5.5</t>
  </si>
  <si>
    <t>5.6</t>
  </si>
  <si>
    <t>5.7</t>
  </si>
  <si>
    <t>5.8</t>
  </si>
  <si>
    <t>5.9</t>
  </si>
  <si>
    <t>5.10</t>
  </si>
  <si>
    <t>5.11</t>
  </si>
  <si>
    <t>5.12</t>
  </si>
  <si>
    <t>5.13</t>
  </si>
  <si>
    <t>5.14</t>
  </si>
  <si>
    <t>5.15</t>
  </si>
  <si>
    <t>5.16</t>
  </si>
  <si>
    <t>5.17</t>
  </si>
  <si>
    <t>5.18</t>
  </si>
  <si>
    <t>5.19</t>
  </si>
  <si>
    <t>5.20</t>
  </si>
  <si>
    <t>5.21</t>
  </si>
  <si>
    <t>5.22</t>
  </si>
  <si>
    <t>5.23</t>
  </si>
  <si>
    <t>5.24</t>
  </si>
  <si>
    <t>6.1</t>
  </si>
  <si>
    <t>6.2</t>
  </si>
  <si>
    <t>6.5</t>
  </si>
  <si>
    <t>6.6</t>
  </si>
  <si>
    <t>6.7</t>
  </si>
  <si>
    <t>6.8</t>
  </si>
  <si>
    <t>6.9</t>
  </si>
  <si>
    <t>6.10</t>
  </si>
  <si>
    <t>6.11</t>
  </si>
  <si>
    <t>6.12</t>
  </si>
  <si>
    <t>6.13</t>
  </si>
  <si>
    <t>6.14</t>
  </si>
  <si>
    <t>6.15</t>
  </si>
  <si>
    <t>6.16</t>
  </si>
  <si>
    <t>6.17</t>
  </si>
  <si>
    <t>6.18</t>
  </si>
  <si>
    <t>6.19</t>
  </si>
  <si>
    <t>6.20</t>
  </si>
  <si>
    <t>6.21</t>
  </si>
  <si>
    <t>6.22</t>
  </si>
  <si>
    <t>6.23</t>
  </si>
  <si>
    <t>6.24</t>
  </si>
  <si>
    <t>6.25</t>
  </si>
  <si>
    <t>6.26</t>
  </si>
  <si>
    <t>6.27</t>
  </si>
  <si>
    <t>6.28</t>
  </si>
  <si>
    <t>6.29</t>
  </si>
  <si>
    <t>7.1</t>
  </si>
  <si>
    <t>7.2</t>
  </si>
  <si>
    <t>7.5</t>
  </si>
  <si>
    <t>7.6</t>
  </si>
  <si>
    <t>7.7</t>
  </si>
  <si>
    <t>7.8</t>
  </si>
  <si>
    <t>7.9</t>
  </si>
  <si>
    <t>7.10</t>
  </si>
  <si>
    <t>7.11</t>
  </si>
  <si>
    <t>7.12</t>
  </si>
  <si>
    <t>7.13</t>
  </si>
  <si>
    <t>7.14</t>
  </si>
  <si>
    <t>7.15</t>
  </si>
  <si>
    <t>7.16</t>
  </si>
  <si>
    <t>7.17</t>
  </si>
  <si>
    <t>7.18</t>
  </si>
  <si>
    <t>7.19</t>
  </si>
  <si>
    <t>7.20</t>
  </si>
  <si>
    <t>7.21</t>
  </si>
  <si>
    <t>7.22</t>
  </si>
  <si>
    <t>7.23</t>
  </si>
  <si>
    <t>7.24</t>
  </si>
  <si>
    <t>7.25</t>
  </si>
  <si>
    <t>7.26</t>
  </si>
  <si>
    <t>7.27</t>
  </si>
  <si>
    <t>7.28</t>
  </si>
  <si>
    <t>7.29</t>
  </si>
  <si>
    <t>8.1</t>
  </si>
  <si>
    <t>8.2</t>
  </si>
  <si>
    <t>8.5</t>
  </si>
  <si>
    <t>8.6</t>
  </si>
  <si>
    <t>8.7</t>
  </si>
  <si>
    <t>8.9</t>
  </si>
  <si>
    <t>8.10</t>
  </si>
  <si>
    <t>8.11</t>
  </si>
  <si>
    <t>8.12</t>
  </si>
  <si>
    <t>8.13</t>
  </si>
  <si>
    <t>8.14</t>
  </si>
  <si>
    <t>8.15</t>
  </si>
  <si>
    <t>8.16</t>
  </si>
  <si>
    <t>8.17</t>
  </si>
  <si>
    <t>8.18</t>
  </si>
  <si>
    <t>8.19</t>
  </si>
  <si>
    <t>8.20</t>
  </si>
  <si>
    <t>8.21</t>
  </si>
  <si>
    <t>8.22</t>
  </si>
  <si>
    <t>8.23</t>
  </si>
  <si>
    <t>8.24</t>
  </si>
  <si>
    <t>8.25</t>
  </si>
  <si>
    <t>8.26</t>
  </si>
  <si>
    <t>8.27</t>
  </si>
  <si>
    <t>8.28</t>
  </si>
  <si>
    <t>8.29</t>
  </si>
  <si>
    <t>8.30</t>
  </si>
  <si>
    <t>8.31</t>
  </si>
  <si>
    <t>8.32</t>
  </si>
  <si>
    <t>8.33</t>
  </si>
  <si>
    <t>8.34</t>
  </si>
  <si>
    <t>8.35</t>
  </si>
  <si>
    <t>9.1</t>
  </si>
  <si>
    <t>9.2</t>
  </si>
  <si>
    <t>9.3</t>
  </si>
  <si>
    <t>9.4</t>
  </si>
  <si>
    <t>9.5</t>
  </si>
  <si>
    <t>9.6</t>
  </si>
  <si>
    <t>9.7</t>
  </si>
  <si>
    <t>9.8</t>
  </si>
  <si>
    <t>9.9</t>
  </si>
  <si>
    <t>9.10</t>
  </si>
  <si>
    <t>9.11</t>
  </si>
  <si>
    <t>9.12</t>
  </si>
  <si>
    <t>9.13</t>
  </si>
  <si>
    <t>9.14</t>
  </si>
  <si>
    <t>9.15</t>
  </si>
  <si>
    <t>9.16</t>
  </si>
  <si>
    <t>9.17</t>
  </si>
  <si>
    <t>9.18</t>
  </si>
  <si>
    <t>9.19</t>
  </si>
  <si>
    <t>9.20</t>
  </si>
  <si>
    <t>9.21</t>
  </si>
  <si>
    <t>9.22</t>
  </si>
  <si>
    <t>9.23</t>
  </si>
  <si>
    <t>9.24</t>
  </si>
  <si>
    <t>10.1</t>
  </si>
  <si>
    <t>10.9</t>
  </si>
  <si>
    <t>10.2</t>
  </si>
  <si>
    <t>10.5</t>
  </si>
  <si>
    <t>10.6</t>
  </si>
  <si>
    <t>10.7</t>
  </si>
  <si>
    <t>10.8</t>
  </si>
  <si>
    <t>10.10</t>
  </si>
  <si>
    <t>10.11</t>
  </si>
  <si>
    <t>10.12</t>
  </si>
  <si>
    <t>10.13</t>
  </si>
  <si>
    <t>10.14</t>
  </si>
  <si>
    <t>10.15</t>
  </si>
  <si>
    <t>10.16</t>
  </si>
  <si>
    <t>10.17</t>
  </si>
  <si>
    <t>10.18</t>
  </si>
  <si>
    <t>10.19</t>
  </si>
  <si>
    <t>10.20</t>
  </si>
  <si>
    <t>10.21</t>
  </si>
  <si>
    <t>10.22</t>
  </si>
  <si>
    <t>10.23</t>
  </si>
  <si>
    <t>10.24</t>
  </si>
  <si>
    <t>11.1</t>
  </si>
  <si>
    <t>11.2</t>
  </si>
  <si>
    <t>11.5</t>
  </si>
  <si>
    <t>11.6</t>
  </si>
  <si>
    <t>11.7</t>
  </si>
  <si>
    <t>11.8</t>
  </si>
  <si>
    <t>11.9</t>
  </si>
  <si>
    <t>11.10</t>
  </si>
  <si>
    <t>11.11</t>
  </si>
  <si>
    <t>11.12</t>
  </si>
  <si>
    <t>11.13</t>
  </si>
  <si>
    <t>11.14</t>
  </si>
  <si>
    <t>11.15</t>
  </si>
  <si>
    <t>11.16</t>
  </si>
  <si>
    <t>11.17</t>
  </si>
  <si>
    <t>11.18</t>
  </si>
  <si>
    <t>11.19</t>
  </si>
  <si>
    <t>11.20</t>
  </si>
  <si>
    <t>11.21</t>
  </si>
  <si>
    <t>11.22</t>
  </si>
  <si>
    <t>11.23</t>
  </si>
  <si>
    <t>11.24</t>
  </si>
  <si>
    <t>11.25</t>
  </si>
  <si>
    <t>TOTEM</t>
  </si>
  <si>
    <t>13.1</t>
  </si>
  <si>
    <t>13.7</t>
  </si>
  <si>
    <t>13.2</t>
  </si>
  <si>
    <t>13.3</t>
  </si>
  <si>
    <t>13.4</t>
  </si>
  <si>
    <t>13.5</t>
  </si>
  <si>
    <t>13.6</t>
  </si>
  <si>
    <t>13.8</t>
  </si>
  <si>
    <t>13.9</t>
  </si>
  <si>
    <t>13.10</t>
  </si>
  <si>
    <t>13.11</t>
  </si>
  <si>
    <t>13.12</t>
  </si>
  <si>
    <t>13.13</t>
  </si>
  <si>
    <t>13.14</t>
  </si>
  <si>
    <t>13.15</t>
  </si>
  <si>
    <t>13.16</t>
  </si>
  <si>
    <t>13.17</t>
  </si>
  <si>
    <t>13.18</t>
  </si>
  <si>
    <r>
      <t xml:space="preserve">SYSTÈMES SANITAIRE ET HYDRAULIQUE, Y COMPRIS LES SYSTEME PLUVIAL. </t>
    </r>
    <r>
      <rPr>
        <sz val="9"/>
        <rFont val="Calibri"/>
        <family val="2"/>
        <scheme val="minor"/>
      </rPr>
      <t>Les travaux inclus dans la présente section comprennent, sans s’y limiter, la fourniture de tous les matériaux, le matériel, les pièces spéciales, le meteriel, l’approvisionnement et les services, la machinerie, la main-d’œuvre et le transport nécessaire à l’exécution des travaux reliés à l’installation des réseaux d’alimentation en eau froide, du drainage des eaux pluviales des toitures ainsi que divers travaux connexes.</t>
    </r>
  </si>
  <si>
    <t>1.13.1</t>
  </si>
  <si>
    <t>1.13.2</t>
  </si>
  <si>
    <t>1.13.3</t>
  </si>
  <si>
    <t>2.13.1</t>
  </si>
  <si>
    <t>2.13.2</t>
  </si>
  <si>
    <t>3.13.1</t>
  </si>
  <si>
    <t>3.13.2</t>
  </si>
  <si>
    <t>3.13.3</t>
  </si>
  <si>
    <t>5.13.1</t>
  </si>
  <si>
    <t>5.13.2</t>
  </si>
  <si>
    <t>5.13.3</t>
  </si>
  <si>
    <t>6.13.1</t>
  </si>
  <si>
    <t>6.13.2</t>
  </si>
  <si>
    <t>6.13.3</t>
  </si>
  <si>
    <t>7.13.1</t>
  </si>
  <si>
    <t>7.13.2</t>
  </si>
  <si>
    <t>7.13.3</t>
  </si>
  <si>
    <t>8.18.1</t>
  </si>
  <si>
    <t>8.18.2</t>
  </si>
  <si>
    <t>10.13.1</t>
  </si>
  <si>
    <t>10.13.2</t>
  </si>
  <si>
    <t>10.13.3</t>
  </si>
  <si>
    <t>11.12.1</t>
  </si>
  <si>
    <t>11.12.2</t>
  </si>
  <si>
    <t>11.12.3</t>
  </si>
  <si>
    <r>
      <t xml:space="preserve">FONÇAGE À SEC À BASE DE GRAVILLON </t>
    </r>
    <r>
      <rPr>
        <sz val="9"/>
        <rFont val="Calibri"/>
        <family val="2"/>
        <scheme val="minor"/>
      </rPr>
      <t>de 15cms d'épaisseur sous  dalle flottante y compris toutes fournitures et sujétions de mise en œuvre.</t>
    </r>
  </si>
  <si>
    <r>
      <t xml:space="preserve">FONÇAGE À SEC À BASE DE GRAVILLON </t>
    </r>
    <r>
      <rPr>
        <sz val="9"/>
        <rFont val="Calibri"/>
        <family val="2"/>
      </rPr>
      <t>de 15cms d'épaisseur sous  dalle flottante y compris toutes fournitures et sujétions de mise en œuvre.</t>
    </r>
  </si>
  <si>
    <t>INSTALLATIONS EXTINCTEURS</t>
  </si>
  <si>
    <r>
      <t xml:space="preserve">MOBILISATION
</t>
    </r>
    <r>
      <rPr>
        <sz val="9"/>
        <rFont val="Calibri"/>
        <family val="2"/>
        <scheme val="minor"/>
      </rPr>
      <t>Ce prix rémunère forfaitairement sans s'y limiter :
Installation générale de chantier pour la réalisation des travaux objet du présent marché, et comprenant notamment : 
- la réalisation d'un constat d'huissier ;
- les dépenses éventuelles d'achat, de location et d'utilisation des terrains autres que ceux mis à la disposition de l'entreprise, les aménagements des terrains et les accès ;
- l'aménagement d'aires de stockages ;
- la fourniture et la mise en œuvre de deux panneaux d'information dimensions 2.0m x 2.0m ;
- l'ensemble de la signalisation provisoire de chantier conforme à la règlementation en vigueur, et son adaptation aux circonstances du chantier ;
- les installations propres au personnel de l'entreprise (local vestiaire, réfectoire notamment) ;
- les installations communes à tous les lots : local sanitaire, WC, bureau pour réunion de chantier, y compris raccordements aux réseaux d'eau potable, d'assainissement des eaux usées et d'électricité ;
- les dispositions de tous ordres en vue d'assurer l'hygiène et la sécurité, conformément à la règlemention en vigueur ;
- les frais d'amené et de repliement des installations ;
- les moyens de nettoyage des véhicules et engins de chantier qui auront à emprunter les voiries ou toute autre disposition pour nettoyer les véhicules ;
- l'entretien et le nettoyage des voiries des projections et des chutes de matériaux des véhicules travaillant pour le compte de l'entreprise ;
- la protection des espèces végétales de tous ordres à proximité du chantier ;
- le démontage et l'évacuation de toutes les installations de chantier ;
- l'inspection du chantier avec le maître d'œuvre au cours de laquelle la liste des travaux de remise en état des lieux est dressée ;
- les frais relatifs aux dispositions prises tout au long du déroulement du chantier, afin d'éviter tous risques de pollution provenant de la réalisation des travaux objet du présent marché ;
- la tenue quotidienne du journal de chantier ;
- l'enlèvement en fin de chantier de tous les matériaux en excédent et la remise en état des lieux après les travaux.
- clôture provisoire - y compris portes d'entrée sécurisée et toutes sujétions pour la sécurité du chantier. Le périmètre clôturé évoluera au cours des différentes phases de chantier. Le même matériel pourra être déplacé et réutilisé selon le phasage du chantier. h=2,5m ;
- le repli en fin de chantier.</t>
    </r>
  </si>
  <si>
    <r>
      <t xml:space="preserve">IMPLANTATION
</t>
    </r>
    <r>
      <rPr>
        <sz val="9"/>
        <rFont val="Calibri"/>
        <family val="2"/>
        <scheme val="minor"/>
      </rPr>
      <t>Ce prix rémunère forfaitairement sans s'y limiter :
Les travaux d'implantation et de suivi topographique du projet réalisés par un géomètre à charge de l'entreprise comprenant le piquetage général, les implantations, les levés topographiques complémentaires éventuels, les opérations de report et de nivellement nécessaires à la réalisation des ouvrages du présent marché.</t>
    </r>
  </si>
  <si>
    <r>
      <t xml:space="preserve">TERRASSEMENT EN PLEINE MASSE POUR CONFECTION DE PLATEFORME DE MISE A NIVEAU + REMBLAI
</t>
    </r>
    <r>
      <rPr>
        <sz val="9"/>
        <rFont val="Calibri"/>
        <family val="2"/>
        <scheme val="minor"/>
      </rPr>
      <t>Ce prix rémunère forfaitairement sans s'y limiter :
- démolition des immeubles existantes ;
- les opérations de tri, de chargement, de transport, de mise en dépôt provisoire pouvant résulter de la réutilisation des matériaux extraits du site ;
- le décapage de la terre végétale sur une épaisseur moyenne de 30 cm, y compris la mise en dépôt provisoire dans l'emprise du chantier et ceci jusqu'aux limites de l'espace public ;
- la reprise de terre végétale sur dépôt provisoire, chargement et remise en place sur l'emprise des espaces verts, y compris décompactage préalable soigné du fond de forme, régalage par couche de 30 cm ;
- le chargement et l'évacuation à toutes distances des terres végétales et du deblai excédentaires non réutilisés ;
- les travaux de terrassements en déblais-remblai remblais (selon Cahier de Charges) réalisés à l'engin mécanique en terrain de toutes natures pour la mise à niveau générale du fond de forme, purge des parties malsaines et des blocs érratiques, le tri des matériaux graveleux réutilisables, la mise en dépôt provisoire. Couche de 25 cm d'épaisseur convenablement arrosé et compacté à 95% (3 passes à la plaque vibrante) y compris fourniture, transport, chargement et déchargement.
- la réalisation de l'essai à la plaque par un prestataire agréé pour contrôle de compactage ;
- la réalisation de l'essai au pénétromètre dynamique par un prestataire agréé pour contrôle de compactage ;
- Autres travaux de nature similaire en terrain de toutes natures.</t>
    </r>
  </si>
  <si>
    <r>
      <t xml:space="preserve">REVÊTEMENT DE SOL AVEC DU REMBLAI 
</t>
    </r>
    <r>
      <rPr>
        <sz val="9"/>
        <rFont val="Calibri"/>
        <family val="2"/>
        <scheme val="minor"/>
      </rPr>
      <t>Fourniture et mise en œuvre d’une couche de gravier, épaisseur selon plans de structure, avec matériel venant de carrière / rivière, compacté à 95% avec plaque vibrante, trois passes minimums, tout compris (chargement, transport, déchargement, arrosage, nivellement, etc.)</t>
    </r>
  </si>
  <si>
    <r>
      <t xml:space="preserve">BORDEREAU DE PRIX UNITAIRE - BPU - </t>
    </r>
    <r>
      <rPr>
        <sz val="20"/>
        <color theme="1"/>
        <rFont val="Calibri"/>
        <family val="2"/>
        <scheme val="minor"/>
      </rPr>
      <t>Centre de Formation Professionnelle des Cayes</t>
    </r>
  </si>
  <si>
    <r>
      <t xml:space="preserve">MUR EN GABION POUR L'STABILISATION DES BERGES DE LA RAVINE SUD
</t>
    </r>
    <r>
      <rPr>
        <sz val="9"/>
        <rFont val="Calibri"/>
        <family val="2"/>
        <scheme val="minor"/>
      </rPr>
      <t>Ce prix rémunère forfaitairement sans s'y limiter :
Fourniture et mise en œuvre d'un mur en gabions et accessoires constitués par des paniers faits de fils galvanisés en grillage à double torsion, remplis de pierres soigneusement rangées sur les faces vues, longeur de 45m et hauteur de 9m. Comprenant :
- l'excavation et le remblayage avec les terres excédentaires et remblai, le déblaiement du terrain est à prévoir ainsi que le décapage de la terre végétale jusqu'à une profondeur de 300mm.
- remblais en tout venant de rivière ou de carrière mise en place par couche de 25 cm d'épaisseur convenablement arrosé et compacté à 95% (3 passes à la plaque vibrante) sous mur y compris fourniture, transport, chargement et déchargement.
- le dressage du talus, la fourniture et la pose du geotextile faisant office de couche de transition
- transport sur le site de pose ;
- assemblage et fermeture des gabions ;
- pose des gabions ;
- fourniture du matériau de remplissage ;
- remplissage des gabions conformément aux prescriptions
- autres activites connexes.</t>
    </r>
  </si>
  <si>
    <r>
      <t xml:space="preserve">REVÊTEMENT DE LA COUR DE TRAVAIL POUR L'ATELIER DE CONSTRUCTION - PLATEFORME EN BETON 
</t>
    </r>
    <r>
      <rPr>
        <sz val="9"/>
        <rFont val="Calibri"/>
        <family val="2"/>
        <scheme val="minor"/>
      </rPr>
      <t>Construction d’une dalle flottante monolithique servant de plateforme de travail pour les cours pratiques dans l'Atelier de Construction. Dalle en béton armé de 12cm d'épaisseur avec des armatures en acier de 8mm (3/8") @30cm. La dalle repose sur une couche de fonçage à sec à base de gravillon de 15 cm d'épaisseur sous dalle. Aura un béton de résistance à la compression de 21 MPa conforme aux spécifications techniques.
Caractéristiques de béton et d’armatures, et spécifications techniques de mise en œuvre, conformes aux plans de structure. Tout compris (matériaux, coffrage, fabrication d’armatures, matériel accessoire, main d’œuvre, etc.)</t>
    </r>
  </si>
  <si>
    <r>
      <rPr>
        <b/>
        <sz val="10"/>
        <rFont val="Calibri"/>
        <family val="2"/>
        <scheme val="minor"/>
      </rPr>
      <t>DEMOLITION DES IMMEUBLES EXISTANTES</t>
    </r>
    <r>
      <rPr>
        <sz val="10"/>
        <rFont val="Calibri"/>
        <family val="2"/>
        <scheme val="minor"/>
      </rPr>
      <t xml:space="preserve">
</t>
    </r>
    <r>
      <rPr>
        <sz val="9"/>
        <rFont val="Calibri"/>
        <family val="2"/>
        <scheme val="minor"/>
      </rPr>
      <t>Ce prix rémunère au mètre cube la démolition des immeubles existantes y compris tous les éléments à démolir tel que les murs en maçonnerie en pierres, en blocs ou en béton, les éléments structurales, la fondation et autres.
Il comprend :
- les découpes préalables éventuelles ;
- la démolition proprement dite ;
- le chargement, l'évacuation des matériaux de démolition et la mise en décharge ou l'éventuelle mise en dépôt des matériaux ;
- autres activités connexes.</t>
    </r>
  </si>
  <si>
    <r>
      <t xml:space="preserve">CENTRAL DE GESTION DES DECHETS :
</t>
    </r>
    <r>
      <rPr>
        <sz val="9"/>
        <rFont val="Calibri"/>
        <family val="2"/>
        <scheme val="minor"/>
      </rPr>
      <t>Le centre est localisé dans la cour de service et il s’agit d’un espace pour la collecte, stockage et gestion des déchets en tenant compte d’un système formel par des camions-bennes vu que c’est la solution la mieux adaptée au contexte. 
Prévue avec un structure parasismique poteaux-poutre de 5x3mts (15m2 de surface) en béton armé avec murs en maçonnerie renforcé de bloc en béton. Toiture légère de charpente métallique, composée de chevrons en acier surplombés d'une tôle d'acier.
Fenêtres en jalousies métalliques avec des grille de sécurité en acier avec barres carres horizontales de 12x12mm/1/2x1/2” soudées à cadre, ensemble ancré avec fixations mécaniques ou soudure.</t>
    </r>
  </si>
  <si>
    <r>
      <t xml:space="preserve">STRUCTURES POUR L'STOCKAGE DES BOUTEILLES DE GAZ « CENTRAL DE GAZ » :
</t>
    </r>
    <r>
      <rPr>
        <sz val="9"/>
        <rFont val="Calibri"/>
        <family val="2"/>
        <scheme val="minor"/>
      </rPr>
      <t>Structure (de 3x3,5mts = 10,5m2) pour l’stockage des bouteilles de gaz ou bonbonnes de gaz « Central de Gaz » pour l’Atelier de construction métallique. L’structure d’stockage est localisé dans la cour de service (espace non couvert) de l’Atelier permettant l’aération naturelle conforme aux normes de sécurité sur le stockage de bouteilles de gaz. Y compris une dalle flottante monolithique servant de fondation. Dalle en béton armé de 12cm d'épaisseur avec des armatures en acier de 8mm (3/8") @30cm. La dalle repose sur une couche de fonçage à sec à base de gravillon de 15 cm d'épaisseur sous dalle. Aura un béton de résistance à la compression de 21 MPa conforme aux spécifications techniques.
Caractéristiques de béton et d’armatures, et spécifications techniques de mise en œuvre, conformes aux plans de structure. Tout compris (matériaux, coffrage, fabrication d’armatures, matériel accessoire, main d’œuvre, etc.)Cette structure doit être une construction robuste en acier et entièrement galvanisé avec portes battantes équipées d'une serrure, et fixée au sol. Le toit sera en tôle pour une protection optimale en cas d'intempéries (voir spécifications).</t>
    </r>
  </si>
  <si>
    <r>
      <t xml:space="preserve">PLANTATION DES ARBRES
</t>
    </r>
    <r>
      <rPr>
        <sz val="9"/>
        <rFont val="Calibri"/>
        <family val="2"/>
        <scheme val="minor"/>
      </rPr>
      <t>La prestation comprend les opérations suivantes:
- fourniture des arbres variés selon prescriptions (hauteur minimum 2.5m) ;
- mise en jauge ;
- creusement du potet ;
- pralinage du plant ;
- mise en place du plant ;
- remblaiement de la fosse par terre végétale ;
- tuteurage (1 piquet) ;
- paillage sur une surface de 80 x 80 cm environ par dallage type ISOPLANT ou tout autre procédé biodégradable garantissant une bonne efficacité ;
- protection contre les rongeurs par manchon rigide fendu type PROTECTRONC ou équivalent.
- et entretien (suivi des plants la première année et le remplacement des sujets).</t>
    </r>
  </si>
  <si>
    <r>
      <t xml:space="preserve">PLANTATION DE PLANTES ORNAMENTALS, BUISSONS ET ARBUSTES
</t>
    </r>
    <r>
      <rPr>
        <sz val="9"/>
        <rFont val="Calibri"/>
        <family val="2"/>
        <scheme val="minor"/>
      </rPr>
      <t>La prestation comprend les opérations suivantes:
- fourniture des plantes ornementales, buissons et arbustes variés selon prescriptions ;
- mise en jauge ;
- creusement du potet ;
- pralinage du plant ;
- mise en place du plant ;
- remblaiement de la fosse par terre végétale ;
- tuteurage (1 piquet) ;
- paillage sur une surface de 80 x 80 cm environ par dallage type ISOPLANT ou tout autre procédé biodégradable garantissant une bonne efficacité ;
- protection contre les rongeurs par manchon rigide fendu type PROTECTRONC ou équivalent.
- et entretien (suivi des plants la première année et le remplacement des sujets).</t>
    </r>
  </si>
  <si>
    <t>PORTE PLANE EN BOIS CONTREPLAQUÉ 130-160 x 210CM</t>
  </si>
  <si>
    <t>PORTE PLANE EN BOIS CONTREPLAQUÉ 90 x 210CM</t>
  </si>
  <si>
    <t>PORTE PLANE EN BOIS CONTREPLAQUÉ 90 x 210CM pour toillettes</t>
  </si>
  <si>
    <t>1.28</t>
  </si>
  <si>
    <t>1.29</t>
  </si>
  <si>
    <t>1.30</t>
  </si>
  <si>
    <t>2.27</t>
  </si>
  <si>
    <t>2.28</t>
  </si>
  <si>
    <t>2.29</t>
  </si>
  <si>
    <t>2.13.3</t>
  </si>
  <si>
    <t>2.30</t>
  </si>
  <si>
    <t>3.27</t>
  </si>
  <si>
    <t>3.28</t>
  </si>
  <si>
    <t>3.29</t>
  </si>
  <si>
    <t>3.30</t>
  </si>
  <si>
    <r>
      <rPr>
        <b/>
        <sz val="10"/>
        <rFont val="Calibri"/>
        <family val="2"/>
        <scheme val="minor"/>
      </rPr>
      <t>SOL RESINE AUTOLISSANTE type PEINTURE EPOXY</t>
    </r>
    <r>
      <rPr>
        <sz val="9"/>
        <rFont val="Calibri"/>
        <family val="2"/>
        <scheme val="minor"/>
      </rPr>
      <t xml:space="preserve">
Toutes les dalles (dalles flottantes, dalle plancher et dalle en porte-à-faux) doivent avoir une finition dalle monolithique en béton ciré conforme aux plans avec une tolérance maximum de 0,25% et un revêtement de RESINE AUTOLISSANTE type PEINTURE EPOXY imperméable lavable et lessivable de densité 1.142 grs/cc avec un d'un grand pouvoir d'adhérence aux surfaces, appliquée en deux couches dans le sol en béton. Tout compris, ponçage toutes fournitures et sujétions comprises et autres.</t>
    </r>
  </si>
  <si>
    <t>5.28</t>
  </si>
  <si>
    <t>5.29</t>
  </si>
  <si>
    <t>5.30</t>
  </si>
  <si>
    <t>4.26</t>
  </si>
  <si>
    <t>4.27</t>
  </si>
  <si>
    <t>6.30</t>
  </si>
  <si>
    <t>6.31</t>
  </si>
  <si>
    <t>7.30</t>
  </si>
  <si>
    <t>7.31</t>
  </si>
  <si>
    <t>8.18.3</t>
  </si>
  <si>
    <t>7.32</t>
  </si>
  <si>
    <t>6.32</t>
  </si>
  <si>
    <t>8.36</t>
  </si>
  <si>
    <t>8.37</t>
  </si>
  <si>
    <t>8.38</t>
  </si>
  <si>
    <t>9.25</t>
  </si>
  <si>
    <t>9.26</t>
  </si>
  <si>
    <t>10.25</t>
  </si>
  <si>
    <t>10.26</t>
  </si>
  <si>
    <t>10.27</t>
  </si>
  <si>
    <t>11.26</t>
  </si>
  <si>
    <t>11.27</t>
  </si>
  <si>
    <t>11.28</t>
  </si>
  <si>
    <r>
      <t xml:space="preserve">REMBLAI STRUCTUREL
</t>
    </r>
    <r>
      <rPr>
        <sz val="9"/>
        <rFont val="Calibri"/>
        <family val="2"/>
        <scheme val="minor"/>
      </rPr>
      <t>Fourniture et mise en œuvre d’unecouche de remblai structurel d’entre 0.75 m et 1.0 m d’épaisseur compactée à 95% de l’Optimum Proctor Modifié devra ensuite être mise en place pour supplanter les terres excaves au-dessous des dalles flottantes des fondations afin d’obtenir un ancrage solide et améliorer la portance du sol. Cette opération devra être effectuée par couches successives de 0.20 m d’épaisseur. Tout compris (chargement, transport, déchargement, arrosage, nivellement, etc.)</t>
    </r>
  </si>
  <si>
    <t>M</t>
  </si>
  <si>
    <t>Borne aérienne ou Parafoudres et autres activités ou éléments de même nature.</t>
  </si>
  <si>
    <t>Conducteur de captation et autres activités ou éléments de même nature.</t>
  </si>
  <si>
    <t>Conducteur de descente et autres activités ou éléments de même nature.</t>
  </si>
  <si>
    <t>Prise de terre et autres activités ou éléments de même nature.</t>
  </si>
  <si>
    <t>Raccords et autres activités ou éléments de même nature.</t>
  </si>
  <si>
    <t>Sectionneurs et autres activités ou éléments de même nature.</t>
  </si>
  <si>
    <t>Protection (protection mécaniques pour les conducteurs de descente) et autres activités ou éléments de même nature.</t>
  </si>
  <si>
    <t>Regards de visite et autres activités ou éléments de même nature.</t>
  </si>
  <si>
    <t>Installation du Cadre General de Basse Tension (CGBT), disposant des automatismes nécessaires pour le commandement et contrôle des différents systèmes tels que la logique de commutation automatique entre les systèmes, le contrôle de charge des batteries, le système de monitorage du CGBT (tensions, intensités, puissance de consommation, facteur de puissance…) et des éléments de commandement à utiliser par l’usager pour un correcte fonctionnement de l’approvisionnement électrique du centre. Complètement installé.</t>
  </si>
  <si>
    <t>Conduits (tuyaux - fourreaux) en PVC de ∅4" (lisse à l'intérieur, annelé à l'extérieur) pour la canalisation electrique en tranchée. Nombre des conduits selon plan d'installation, la quantité est refereé a la quantité des conduits et non au ml des tranchées. Compris les travaux  la réalisation d'une fouille simple (selon plan) pour tranchée réseaux secs, fouille réalisée en terrain de toute nature y compris le nivellement du fond de fouille, sur profondeur pour lit de sable, blindage, épuisement des tranchées si nécessaire, croisements de divers réseaux, fourniture et mise en œuvre de sable sur 30 cm d'épaisseur pour lit de pose et enrobage, fourniture et mise place des grillages avertisseurs de couleur normalisée, remblayage, chargement et évacuation à la décharge de l'entreprise à toutes distances des excédents ; et autres activités. Tout compris.</t>
  </si>
  <si>
    <t>Regards pour canalisation électrique, avec dimensions intérieures 45x45x60 cm, compris fouille, dalle radier de 5 cm en béton, avec murs de 15 cm d´épaisseur, crépi à l'intérieur avec mortier de ciment et sable de rivière, avec cadre et tampon carré 45x45 cm en fonte type chaussée (avec couvercle pour regard de visite en fonte, avec système à charnières pour empêcher le vol). Comprend le coulage et le compactage du béton pour la réalisation du dallage, les embouts de conduits, les connexions et les arrêts. Complètement installé.</t>
  </si>
  <si>
    <t>Luminaire plafonnier à base de douille et apoule LED (technologie LED), diammetre 300mm à fixer au plafond, angle 120º, temp. 3000-4000ºK, 127V , selon courbe photométrique du projet et avec les suivantes caractéristiques:
Boîtiers: Aluminium injecté à haute pression
Réflecteur: Aluminium anodisé
Fermeture: Verre plan (FG) ou Polycarbonate (PC)
Gris standard (RAL 7022).
Compris structure de support pour luminaire, plaques, profiles, selon memoire et plans, en acier
galvanisé au chaud avec traitement anticorrosion. Complètement installée.</t>
  </si>
  <si>
    <t>Applique exteriure pour plafond, étanche IP65. Luminaire plafonnier à base de douille et apoule LED (technologie LED), diammetre 300mm à fixer au dalle betón au porte-à-faux, angle 120º, temp. 3000-4000ºK, 127V , selon courbe photométrique du projet et avec les suivantes caractéristiques:
Boîtiers: Aluminium injecté à haute pression
Réflecteur: Aluminium anodisé
Fermeture: Verre plan (FG) ou Polycarbonate (PC)
Gris standard (RAL 7022).
Compris structure de support pour luminaire, plaques, profiles, selon memoire et plans, en acier
galvanisé au chaud avec traitement anticorrosion. Complètement installée.</t>
  </si>
  <si>
    <t xml:space="preserve">Prise de courant I+N+T 20A, ENCASTRÉES, 120V. Y compris sa boîte d'encastrement pour maçonnerie. Complétement installé. </t>
  </si>
  <si>
    <t>Divers accessoires incluant transport (miscellanées)</t>
  </si>
  <si>
    <t xml:space="preserve">Prise de courant I+N+T 20A, étanche IP54, ENCASTRÉES, 120V. Y compris sa boîte étanche d'encastrement pour maçonnerie. Complétement installé. </t>
  </si>
  <si>
    <t xml:space="preserve">Prise de projecteur: prise II+T 16A à toit. Y compris sa boîte d'encastrement pour maçonnerie. Complétement installé. </t>
  </si>
  <si>
    <t xml:space="preserve">Prise de courant I+N+T 20A pour point de travail, ENCASTRÉES, 120V: 2 prises I+N+T 20A normales et 2 prises I+N+T 20A SAI. Y compris sa boîte d'encastrement pour maçonnerie. Complétement installé. </t>
  </si>
  <si>
    <t>Ventilateur de plafond, 127 V, diamètre 120 cm, 60W, 3 vitesses, avec commande murale (régulateur - H=1,20m) à boitier encastrable et permet le contrôle de la vitesse de rotation des pales du ventilateur, 3 pales métalliques réversibles, couleur chrome-gris, sans lumiere. Y comprix tous les accessoires de montage. Complètement installé.</t>
  </si>
  <si>
    <t>Interrupteur simple d'allumage à encastrer de 127V, 15A, 1P. Les branchements pourra etre réalisé au niveau des boîtiers de l'appareillage et du DCL ou bien dans une boîte de dérivation en tenant compte du plan d'installation du circuit électrique. Y compris sa boîte d'encastrement pour maçonnerie. Complétement installé.</t>
  </si>
  <si>
    <t>Interrupteur commutateur (va et vient) d'allumage à encastrer de 127V, 15A, 1P. Les branchements pourra etre réalisé au niveau des boîtiers de l'appareillage et du DCL ou bien dans une boîte de dérivation en tenant compte du plan d'installation du circuit électrique. Y compris sa boîte d'encastrement pour maçonnerie. Complétement installé.</t>
  </si>
  <si>
    <t>Interrupteur simple d'allumage étanche IP54, à encastrer de 127V, 15A, 1P. Les branchements pourra etre réalisé au niveau des boîtiers de l'appareillage et du DCL ou bien dans une boîte de dérivation en tenant compte du plan d'installation du circuit électrique. Y compris sa boîte étanche d'encastrement pour maçonnerie. Complétement installé.</t>
  </si>
  <si>
    <t>Interrupteur commutateur (va et vient) d'allumage étanche IP54, à encastrer de 127V, 15A, 1P. Les branchements pourra etre réalisé au niveau des boîtiers de l'appareillage et du DCL ou bien dans une boîte de dérivation en tenant compte du plan d'installation du circuit électrique. Y compris sa boîte étanche d'encastrement pour maçonnerie. Complétement installé.</t>
  </si>
  <si>
    <t>CABLE TRAY 200mmx50mm à l'interiur du faux-plafond (Plateau de câble perforé en PVC de 200x50x3000mm). Y compris sa couverture, les support de montage pour le plateau de câble perforé (suspension horizontale), les support de montage pour le plateau de câble perforé (suspension verticale), les connecteurs, les barres de suspension filetées M10 (1m), et d'autres elements de fixation, et pièces spéciales et autres elements. Complètement installé.</t>
  </si>
  <si>
    <t>m</t>
  </si>
  <si>
    <t>APPAREILS SANITAIRE</t>
  </si>
  <si>
    <t>DRAINAGE SANITAIRE</t>
  </si>
  <si>
    <t>DRAINAGE PLUVIAL</t>
  </si>
  <si>
    <t>Colliers en acier à visser, D4", M-8</t>
  </si>
  <si>
    <t>Robinet mitigeur lavabo chromé 1/2" temporisé à 4 secondes. Mitigeur lave mains complet (joints, fixations). Complètement installé.</t>
  </si>
  <si>
    <t>Robinet mitigeur à encastrer pour douche avec cartouche en céramique 35 mm en finition chrome. Mitigeur complet (joints, fixations). Complètement installé.</t>
  </si>
  <si>
    <t>Set de douche mural encastrable carre de 20x20cm et finition chromée très résistante, y compris une douche manuelle ou douchette de 7,5x7,5cm, le flexible douche de 2m en acier inoxydable (flexible anti-torsion), plus support de douchette en inition chromée facilement réglable. Comprend tout le matériel de montage. Complètement installé.</t>
  </si>
  <si>
    <t>Bonde de douche de salle de bain de siphon de sol d'écoulement verticale en acier inoxydable. Siphon de sol sortie verticale 4"x4" avec garde d’eau (niveau d’eau de 30 mm) contre les mauvaises odeurs. Complètement installé.</t>
  </si>
  <si>
    <t>Set de barres d'appui (mains courantes) pour toilettes et douches y compris des garde-corps et/ou balustrades en finition chrome en acier inoxydable pour les personnes à mobilité reduite. Diamètre de barres de 3,5cm. Fixations dissimulées avec de vis cachées. Toutes les fixations sont fournies. Complètement installé.</t>
  </si>
  <si>
    <t>Divers accessoires pour le montage incluant transport (miscellanées)</t>
  </si>
  <si>
    <t>Raccords: les coudes ou de culottes de branchement (Y=45º et Te=90º) en PVC rigide en basse et haute pression, y compris les manchon de réduction, les bouchons, les siphons, ainsi que les tampon de visite (diammetres selon installation). Complètement installé.</t>
  </si>
  <si>
    <t>Réservoir bas et cuvette WC y compris tous les elements de fixation et d'evacuation et d'installation, ainsi que les vannes d'arrêt. Complètement installé.</t>
  </si>
  <si>
    <t>Lavabo pour colonne en céramique, blanc 60 cm y compris tous les elements de fixation et d'evacuation et d'installation, ainsi que les vannes d'arrêt. Complètement installé.</t>
  </si>
  <si>
    <t>La fourniture et l’installation du réseau d’approvisionnement d’eau froide comprenant : tous les conduits d’alimentation et distribution ; éléments de fixation et de supports ; le remblaiement au-dessus de la canalisation sous terrain ; fouilles de tranches ; entailles et percements dans la maçonnerie ou le béton nécessaires à l’installation de tuyaux. Tuyau rigide de protection en PVC de dimammetres selon plan. Y compris les vannes d'arrêt. Complètement installé.</t>
  </si>
  <si>
    <t>RESEAU EAU FROIDE</t>
  </si>
  <si>
    <t>Tuyeaux d'évacuation en PVC de 4" : tous les conduits de drainage ; éléments de fixation et de supports ; le remblaiement au-dessus de la canalisation sous terrain ; fouilles de tranches ; entailles et percements dans la maçonnerie ou le béton nécessaires à l’installation de tuyaux. Tuyau rigide de protection en PVC de dimammetres selon plan. Complètement installé. Complètement installé.</t>
  </si>
  <si>
    <t>Tuyeaux d'évacuation en PVC de 3" : tous les conduits de drainage ; éléments de fixation et de supports ; le remblaiement au-dessus de la canalisation sous terrain ; fouilles de tranches ; entailles et percements dans la maçonnerie ou le béton nécessaires à l’installation de tuyaux. Tuyau rigide de protection en PVC de dimammetres selon plan. Complètement installé.</t>
  </si>
  <si>
    <t>Tuyeaux d'évacuation en PVC de 2" : tous les conduits de drainage ; éléments de fixation et de supports ; le remblaiement au-dessus de la canalisation sous terrain ; fouilles de tranches ; entailles et percements dans la maçonnerie ou le béton nécessaires à l’installation de tuyaux. Tuyau rigide de protection en PVC de dimammetres selon plan. Complètement installé.</t>
  </si>
  <si>
    <t>Canal de drainage 250x250x3000mm en zinc galvanisé. Complètement installé.</t>
  </si>
  <si>
    <t>Fourniture et installation d'antenne TV/FM/SAT, comprenant aussi : les prises pour les antennes (encastré dans le mur) ; les antennes UHF VHF FM ; pré-amplificateur large bande ; amplifacateur large bande ; dérivateur ; fourreaux ; câbles coaxial ; conduits ; sa boîte d'encastrement pour maçonnerie et autres accesoires necessaires. Complétement installé.</t>
  </si>
  <si>
    <t>Fourniture et installation des prises de signal de voix et de donnés, type universal avec connecteur RJ45 double, catégorie 6a. Y compris sa boîte d'encastrement pour maçonnerie et autres accesoires necessaires. Complétement installé.</t>
  </si>
  <si>
    <t>L’Entrepreneur devra fournir les matériaux et la main d’oeuvre nécessaires à l’achèvement des travaux d’aménagement des blocs sanitaires tels que spécifiés dans cette section.
• Porte papier de toilette hygiénique placé à 70 cm du sol ;
• Distributeur de savon liquide en métal chromé et plastic de 6 ½" de hauteur ;
• Porte serviette en papier en métal chromé ;
• Miroir à rebord biseauté de 70 x 55 cm placé à 45 cm au-dessus du lavabo.</t>
  </si>
  <si>
    <t>Canalisation encastré aux murs, aux dalles en betón et suspendu à l'interiur du faux plafond. Tuyaux en PVC rigide (SCH40), de diamètre extérieur 1/2" et 3/4", pour logement de circuits, selon plan, y compris les courbes 90 G PVC, les raccords PVC, les connecteurs PVC, elements de fixation, et pièces spéciales et autres elements. Y compris les bôites de derivation en acier inoxydable. Complètement installé.</t>
  </si>
  <si>
    <t>Tuyeaux d'évacuation en PVC de 12",10", 8",6" et 4", selon plans: tous les conduits de drainage ; éléments de fixation et de supports ; le remblaiement au-dessus de la canalisation sous terrain ; fouilles de tranches. Tuyau rigide de protection en PVC de dimammetres selon plan.</t>
  </si>
  <si>
    <t>Tableau de commande électrique ecastré. Fourniture et installation du paneau électrique selon ou indique dans les plans, y compris le tableau modulaire regroupant les protections et les commandes des différents circuits ; les interrupteurs ; les disjoncteurs de branchement et magnéto-thermique ; GFI (Ground Fault Interrupteur) ; ICDA (Interrupteur de Circuit sur défaut d’arc) ; sélecteurs ; pilotes de signalization ; barette collectrice de de terre. Complètement installé.</t>
  </si>
  <si>
    <t>Fourniture et installation des câbles de distribution monoconductor de cuivre THHN 90 Grados cent. Circuits selon plans, en (4) quatre lignes de circuits selon le cas: circuits lumineux, circuits de forcé (prises de courant), circuit UPS, et un circuit pour les equipements selon NFPA 70 National Electric Code, par son isolement nominal et par sa conduction sous tuyau en PVC (encastré au mur -à l'interiur des bloques-, dans les dalles ou à l'interiur du faux-plafond). Les prises de courant et interrupteurs pour usage extérieur, auront son propre circuit de dérivation. Complètement installé.</t>
  </si>
  <si>
    <t>Canalisation encastré aux murs (à l'interiur des bloques), aux dalles en betón et suspendu à l'interiur du faux plafond. Tuyaux en PVC rigide (SCH40), de diamètre extérieur 1/2" et 3/4", pour logement de câbles de données servent à la transmission de signaux TV/FM/SAT et réseau selon plan, y compris les courbes 90 G PVC, les raccords PVC, les connecteurs PVC, elements de fixation, et pièces spéciales et autres elements. Complètement installé.</t>
  </si>
  <si>
    <t>Fourniture et installation des câbles de distribution F/UTP GigaLan indoor/outdoor Cat 6a pour pour la transmission de voix numériques et analogiques, de données et de signaux vidéo connecté au point de raccordement dans le bâtiment (point d'entrée de l'adduction dans l'immeuble) prevue pour la connexion-installation des lignes en fibre optique connecté directement au router principal dans le bâtiment de l’Administration. Complètement installé.</t>
  </si>
  <si>
    <t xml:space="preserve">Prise de courant I+N+T 20A, ENCASTRÉES, 120V. Double de superficie. Y compris sa boîte d'encastrement pour maçonnerie. Complétement installé. </t>
  </si>
  <si>
    <t xml:space="preserve">Prise de projecteur: prise II+T 16A à toit. Y compris sa boîte d'encastrement pour maçonnerie (Salle de Réunion). Complétement installé. </t>
  </si>
  <si>
    <t>Prise de courant pour climatiseur I+N+T 30A– configuration 5-20R, ENCASTRÉES, 120V-250V. Prise de courant distincte et dédiée doit être installée à proximité de chaque climatiseur (à distribuer dans les plans de distribution sur les locaux : Bureau 1 -Infirmerie-, Salle de Réunion, Bureau 2, Bureau 3 -Salle d'informatique-serveur-, et Bureau 4 -Direction-). Cette prise de courant servant uniquement pour son climatiseur devra être alimentée par un circuit de dérivation desservant uniquement cette prise de courant. Y compris sa boîte d'encastrement pour maçonnerie. Complétement installé.</t>
  </si>
  <si>
    <t>Air conditionné (climatiseur) à travers des Split fix (8000BTU). L'unité extérieure des split sera placée à l'arriere du bâtiment ce qui fait que les tuyauteries isolées seront acheminées au niveau des trous d’installations jusqu'à l'unité intérieure. Les unités intérieures seront placées de manière à avoir le parcours le plus court entre l'unité intérieure et l'unité extérieure. Complètement installé.</t>
  </si>
  <si>
    <t>Air conditionné (climatiseur) à travers des Split fix (12000BTU). L'unité extérieure des split sera placée à l'arriere du bâtiment ce qui fait que les tuyauteries isolées seront acheminées au niveau des trous d’installations jusqu'à l'unité intérieure. Les unités intérieures seront placées de manière à avoir le parcours le plus court entre l'unité intérieure et l'unité extérieure. Complètement installé.</t>
  </si>
  <si>
    <t>Urinoir y compris tous les elements de fixation et d'evacuation et d'installation, ainsi que les vannes d'arrêt. Complètement installé.</t>
  </si>
  <si>
    <t>Fourniture et installation d'antenne TV/FM/SAT (Salle de Réunion), comprenant aussi : les prises pour les antennes (encastré dans le mur) ; les antennes UHF VHF FM ; pré-amplificateur large bande ; amplifacateur large bande ; dérivateur ; fourreaux ; câbles coaxial ; conduits ; sa boîte d'encastrement pour maçonnerie et autres accesoires necessaires. Complétement installé.</t>
  </si>
  <si>
    <t>Patch Panel Cat6a 24 ports 1U avec kit de montage. Complétement installé.</t>
  </si>
  <si>
    <t>Fourniture et installation du POINT D'ACCÈS sans fil (router Wi-Fi) avec 2 vitesses de 11 à 54Mbps (branché au UPS) : Wireless N-Router (b/g/n Wi-Fi) with Simultaneous Dual-Band, MIMO antenna array for expanded high speed coverage and reliability, 4 Gigabit Ethernet Ports, support for IPv6, WPA2 encryption and SPI Firewall, Quality of Service (QoS), Cisco Connect Software, and Cisco Connect Cloud. Complétement installé.</t>
  </si>
  <si>
    <t>Fourniture et installation du router (braché directement au reseau Internet - voir avec le fourniseur) Wi-Fi 1350 Mbps Wi-Fi Bi-Bande: 450 Mbps en 2.4 GHz, 867 Mbps en 5 GHz, 5 ports Ethernet, 1 Port USB 2.0 (Archer C59) (AC Bi-bande Haut débit). Complétement installé.</t>
  </si>
  <si>
    <t>Switch PoE 24P (mise en réseau rapide avec 24 ports fibres optiques) 10/100 4 GigaBit Port 1U avec kit de montage. Complétement installé.</t>
  </si>
  <si>
    <t>Armoire interconnexion réseau TELECOM : Cabinet de données 9U 19 " du serveur de réseau informatique. Montage sur rack Porte-vitre en RACK Wall-Mounted 9U w/glass door/2fan+PDU &amp; Accesories. Complétement installé.</t>
  </si>
  <si>
    <t>Systeme de ventilation mixte statique/dynamique, electro-mécanique: ventilateur extrateur suspendu au niveau du faux-plafond T4 (min. 200m3/h), finition chromé à bille silencieuse. Y compris les conduits et d'autres accesoires pour l'installation complet du systeme. Complètement installée.</t>
  </si>
  <si>
    <t>Luminaire plafonnier à base de douille et apoule LED (technologie LED), diammetre 550mm à fixer au plafond, angle 120º, temp. 3000-4000ºK, 127V , selon courbe photométrique du projet et avec les suivantes caractéristiques:
Boîtiers: Aluminium injecté à haute pression
Réflecteur: Aluminium anodisé
Fermeture: Verre plan (FG) ou Polycarbonate (PC)
Gris standard (RAL 7022).
Compris structure de support pour luminaire, plaques, profiles, selon memoire et plans, en acier
galvanisé au chaud avec traitement anticorrosion. Complètement installée.</t>
  </si>
  <si>
    <t>Highbay LED Industrielle - PC réflecteur (couverture), angle 60º, temp. 4500-6000ºK, 127V , 150 W, selon courbe photométrique du projet et avec les suivantes caractéristiques, éclairage pour usine:
Boîtiers: Aluminium injecté à haute pression
Réflecteur: Aluminium anodisé
Gris standard (RAL 7022).
Compris structure de support pour luminaire, plaques, profiles, selon memoire et plans, en acier
galvanisé au chaud avec traitement anticorrosion. Complètement installée.</t>
  </si>
  <si>
    <t xml:space="preserve">Prise de courant III+N+T 20A ENCASTRÉES, 240V. Pour les equipements d’une capacité superiur de 1500 watts à 240 volts conectés au panneau principal, et trois conducteurs RW90 en cuivre qui consistent en deux conducteurs sous-tension et un conducteur de mise à la masse. Y compris sa boîte d'encastrement pour maçonnerie. Complétement installé. </t>
  </si>
  <si>
    <t>Luminaire plafonnier à base de douille et apoule LED (technologie LED), diammetre 100mm à fixer au plafond, angle 120º, temp. 3000-4000ºK, 127V , selon courbe photométrique du projet et avec les suivantes caractéristiques:
Boîtiers: Aluminium injecté à haute pression
Réflecteur: Aluminium anodisé
Fermeture: Verre plan (FG) ou Polycarbonate (PC)
Gris standard (RAL 7022).
Compris structure de support pour luminaire, plaques, profiles, selon memoire et plans, en acier
galvanisé au chaud avec traitement anticorrosion. Complètement installée.</t>
  </si>
  <si>
    <t>Prise de prévision de lignes PR 25 prises de courant I+N+T 20A pour point de travail, ENCASTRÉES, 120V: 10 prises I+N+T 20A normales et 15 prises I+N+T 20A SAI. Y compris sa boîte d'encastrement pour maçonnerie. Complétement installé.</t>
  </si>
  <si>
    <t xml:space="preserve">Prise de courant de sol I+N+T 20A, ENCASTRÉES, 120V: Prise de sol encastrable en acier inox, bloc 2 prise de courant carré, finition chormme ou platinum pour sol ou plan de travail. Y compris sa boîte d'encastrement pour maçonnerie. Complétement installé. </t>
  </si>
  <si>
    <t>Siphon de sol d'écoulement verticale en acier inoxydable. Siphon de sol sortie verticale 4"x4" avec garde d’eau (niveau d’eau de 30 mm) contre les mauvaises odeurs. Complètement installé.</t>
  </si>
  <si>
    <t>Vanne d'arrêt boisseau sphérique manette longue, mâle/mâle 1/2"x1/2"</t>
  </si>
  <si>
    <t>Tuyau flexible de 1/2"femelle x 1/2"femelle x 400mm de long</t>
  </si>
  <si>
    <t>Evier à encastrer inox Lynx, 2 bacs avec égouttoir droit, kit avec siphon et elements de fixation. Complètement installé.</t>
  </si>
  <si>
    <t>Mitigeur de cuisine chromé 1/2" RM avec douchette 2 fonctions bec tube pivotant à 360º, mousseur ABS demontable. Mitigeur complet (joints, fixations). Complètement installé.</t>
  </si>
  <si>
    <t>Robinet mitigeur monocommande pour mural chromé 1/2" temporisé à 4 secondes. Mitigeur lave mains complet (joints, fixations). Complètement installé.</t>
  </si>
  <si>
    <t>Plan vasque lavoir en béton (Lave-mains suspendu en betón armé pour 6). Plan de travail/lavabo moulé d’une pièce en usine. Épaisseur de la partie horizontale du meuble 15mm. Complètement installé.</t>
  </si>
  <si>
    <t>Set de siphon + pop up rebondir pas de trop-plein pour plan vasque lavoir en béton, finition chromé. Bonde de vidage push open pour lavabo. Complètement installé.</t>
  </si>
  <si>
    <t>Tuyeaux d'évacuation en PVC de 8" : tous les conduits de drainage ; éléments de fixation et de supports ; le remblaiement au-dessus de la canalisation sous terrain ; fouilles de tranches ; entailles et percements dans la maçonnerie ou le béton nécessaires à l’installation de tuyaux. Tuyau rigide de protection en PVC de dimammetres selon plan. Complètement installé. Complètement installé.</t>
  </si>
  <si>
    <t>Tuyeaux d'évacuation en PVC de 6" : tous les conduits de drainage ; éléments de fixation et de supports ; le remblaiement au-dessus de la canalisation sous terrain ; fouilles de tranches ; entailles et percements dans la maçonnerie ou le béton nécessaires à l’installation de tuyaux. Tuyau rigide de protection en PVC de dimammetres selon plan. Complètement installé.</t>
  </si>
  <si>
    <t>Chasse d’eau d’urinoir à pression délai manuel (vanne d'arrêt manuelle à durée prolongée, d'une durée de 4 à 8 secondes) de cuivre massif avec finition chromée, résistant à la rouille. Chasse complet (joints, fixations). Complètement installé.</t>
  </si>
  <si>
    <t>11.29</t>
  </si>
  <si>
    <t>Voir VRD</t>
  </si>
  <si>
    <t>Suministro y montaje de proyectores de pared con lámpara LED de 40W de 4000Lm, carcasa de aluminio, tensión 220/240V protección IP65.</t>
  </si>
  <si>
    <t>Fourniture et installation d’un groupe électrogène insonorisé d’une puissance 275 KVA, 220 V III. Y compris un réservoir pour le carburant de 7000 litres. Le groupe électrogène sera connecté au CGBT où se trouvera la commutation réseau- groupe. Il s’agira du système d’approvisionnement principal du centre jusqu’à l’arrivée du réseau public électrique. Complètement installé.</t>
  </si>
  <si>
    <t>Fourniture et installation des câbles de distribution general relient chaque bâtiment au panneu general de control. Câbles en cuivre flexible (circuits selon plans) selon NFPA 70 National Electric Code, par son isolement nominal et par sa conduction sous tuyau en PVC. Complètement installé.</t>
  </si>
  <si>
    <t xml:space="preserve">Fourniture et installation des lignes en fibre optique relient chaque bâtiment, avec au moins une fibre par bâtiment, à un point de raccordement dans le bâtiment, connecté directement au router principal dans le bâtiment de l’Administration (connexion router). Les caractéristiques dimensionnelles des canalisations (nombre et diamètre des tubes ou conduits) et des chambres (types) sont déterminées à partir d'une étude de câblage qui intègre les réseaux. Complètement installé  jusqu’à le point d'entrée de l'adduction dans chaque immeuble (point d’accès).
Câble 8 multi-mode fibre optique câble 62,5/125 microns, pour une installation extérieure avec type de terrasse extérieure LSZH, acier anti rongeurs de renfort, couvercle intérieur et tube central gel rempli LSZH bloqueur hors de l'eau. Fourniture et pose dans n'importe quel type de canalisation.
Y compris l'ouverture et le remblayage de la tranchée nécessaire à la construction de la canalisation. La tranchée est creusée le plus rectiligne possible avec un fond de fouille homogène sans corps saillant. La profondeur de couverture minimale de la canalisation est de 0,80 m sous les voies accessibles aux voitures et de 0,60 m dans les autres cas. La canalisation est enrobée de sable (lit de pose de 0,05 m, enrobement latéral et supérieur de 0,10 m). Un dispositif avertisseur, de couleur verte, est posé à une distance de 0,20m à 0,30 m au-dessus de la canalisation. Aux arrivées dans les chambres, les tubes ou conduits sont enrobés de béton sur le dernier mètre, écartés de 0,03 m les uns des autres, disposés en nappes horizontales et obturés. </t>
  </si>
  <si>
    <t>Autres travails de nature similaires ou connexes. (voir Cahier des Charges et Plans d'execution)</t>
  </si>
  <si>
    <t>Regards pour canalisation. Exécution de raccordement ou connexion de câble 8 fibres optiques multimodal en optique
répartiteur optique ou boîte de raccordement. Y comprise caisse étanche ou répartiteur pour 19'' rack, selon besoins, avec des nattes, 8 attirantes jusqu'à 2 mètres, connectés par les deux extrémités, inclus les matières auxiliaires nécessaires et les tests de réflectométrie. Complètement installé.</t>
  </si>
  <si>
    <r>
      <t xml:space="preserve">RESEAU DATA
</t>
    </r>
    <r>
      <rPr>
        <sz val="9"/>
        <rFont val="Calibri"/>
        <family val="2"/>
        <scheme val="minor"/>
      </rPr>
      <t>Ce prix rémunère forfaitairement sans s'y limiter :
- fourniture et l'installation de l'installation générale des réseaux et prises du système de Téléphonie IP et du réseau de Data administratif et de sécurité.</t>
    </r>
  </si>
  <si>
    <r>
      <t xml:space="preserve">INSTALLATIONS ELECTRIQUES GENERALES
</t>
    </r>
    <r>
      <rPr>
        <sz val="9"/>
        <rFont val="Calibri"/>
        <family val="2"/>
        <scheme val="minor"/>
      </rPr>
      <t>Ce prix rémunère forfaitairement sans s'y limiter, la fourniture et l'installation du système électrique complet general ;  fournir et installer le nombre d'éléments de l'équipement comme indiqué sur les dessins et tel que requis pour compléter les systèmes ; fournir tout appareil, équipement, matériau, travail, non mentionné sur les plans mais mentionné dans le cahier des charges, ou vice versa, tous les accessoires nécessaires pour rendre le travail complet et parfait à tous les égards ; branchement au réseau public ; et autres travails de nature similaires ou connexes. (voir Cahier des Charges et Plans d'execution).</t>
    </r>
  </si>
  <si>
    <t>Batteries gel à cycle profond scellées de type Batterie 31-GEL 12V, 102 Ah (20HR), selon les Normes USA.. Batteries sans entretien qui offrent une puissance supérieure dans des applications exigeantes d'énergie renouvelables. Conçues pour une forte durabilité, des performances exceptionnelles et une batterie longue durée, les batteries gel à cycle profond disposent d'un certain nombre de caractéristiques de conception importantes qui fournissent des avantages significatifs sur d'autres produits de gel. L'électrolyte gélifié est une formulation exclusive contenant de l'acide sulfurique,
la silice fumée, pure déminéralisée, de l'eau désionisée et d'un additif d'acide phosphorique.
Cette formulation exclusive produit un gel homogène qui assure une performance constante et un cycle de vie considérablement long. Les grilles lourdes bloquent matière active sur le réseau de grille pour fournir efficacement l'énergie plus concentrée sur les bornes. De première qualité, des séparateurs à double isolation permettent qu'une charge maximale
circule entre les plaques pour des performances optimales.</t>
  </si>
  <si>
    <t>Panneu de control pour l'installation d’un système autonome alternatif de captage avec un onduleur et les batteries requis (Système UPS/SAI independant). Le système sera dimensionné de manière appropriée selon la charge définie pour les espaces à être connectés à ce système (voir Cahier de Charges et plan d’exécution).</t>
  </si>
  <si>
    <t>Panneau principal de dérivation (2000x1800mm). Fourniture et installation du panneau électrique selon ou indique dans les plans (schéma unifilaire), y compris le tableau modulaire regroupant les protections et les commandes des différents circuits ; les interrupteurs ; les disjoncteurs de branchement et magnéto-thermique ; GFI (Ground Fault Interrupteur) ; ICDA (Interrupteur de Circuit sur défaut d’arc) ; sélecteurs ; pilotes de signalisation ; barrette collectrice de de terre. Complètement installé. (voir Cahier de Charges et plan d’exécution). Y compris :
Interrupteur automatico de 630 A IV – Unit : 2
Contactor de 630 A IV – Unit : 2
Interrupteur automatico avec bloque diferencial 500A/03 IV, retardado 1 segundo – Unit : 1
Interrupteur automatico de 150 A IV – Unit : 1
Interrupteur automatico de 150 A IV – Unit : 3
Interrupteur automatico de 63 A IV – Unit : 2
Interrupteur automatico de 40 A IV – Unit : 1
Interrupteur automatico de 32 A IV – Unit : 2
Interrupteur automatico de 25 A IV – Unit : 1
Interrupteur automatico de 15 A IV – Unit : 1
Interrupteur automatico de 80 A II – Unit : 2
Interrupteur automatico de 63 A II – Unit : 2
Distributeurs – Unit : 4</t>
  </si>
  <si>
    <t>Fourniture et installation d’un système autonome alternatif de captage avec un onduleur de 80A, de 12V cc, à 220V c.a. Système UPS/SAI independant (Uninterrupted Power System/Système d’Alimentation Ininterrompue) pour une puissance de 16kw et autonomie 6 heures. Les postes de travail où une coupure de courant pourrait entrainer une perte importante de documentation (Laboratoire Informatique, Inspectorat et Administration, Dortoir et autres, et les lumieres) seront dotés de prise de courant alimentées par un Système d’Alimentation Ininterrompue on-line de double conversion. Ce réseau est prévu à niveau des sorties du sous-tableau du bâtiment concerné, lignes, prises et prévision du tableau électrique UPS/SAI, no du UPS/SAI et son installation. Entrée et sortie avec commande manuelle et automatique de by-pass, pour réduire la réinjection harmonique, montée en parallèle pour la redondance, protection de circuit, d'entrées-sorties, by-pass et piles, en respectant les spécifications techniques, y compris montage, fixation et raccordement.
L´armoire est construite en acier inoxydable et anti vandalisme avec compatibilité électromagnéti, pour l'équipe UPS et des batteries avec espace réservé pour les futures installations ou extensions. Comprend les communications et p.p. câblage électrique sous la canalisation. Installé avec des connexions différentes et en parfaite. Complètement installé.</t>
  </si>
  <si>
    <t>Divers accessoires pour le montage incluant transport (miscellanées) et toute autre travail de nature similaire et connexe.</t>
  </si>
  <si>
    <r>
      <rPr>
        <b/>
        <sz val="10"/>
        <rFont val="Calibri"/>
        <family val="2"/>
        <scheme val="minor"/>
      </rPr>
      <t>RESEAU EAU FROIDE</t>
    </r>
    <r>
      <rPr>
        <sz val="10"/>
        <rFont val="Calibri"/>
        <family val="2"/>
        <scheme val="minor"/>
      </rPr>
      <t xml:space="preserve">
</t>
    </r>
    <r>
      <rPr>
        <sz val="9"/>
        <rFont val="Calibri"/>
        <family val="2"/>
        <scheme val="minor"/>
      </rPr>
      <t>Ce prix rémunère forfaitairement sans s'y limiter :</t>
    </r>
  </si>
  <si>
    <r>
      <t xml:space="preserve">CHÂTEAU D'EAU
</t>
    </r>
    <r>
      <rPr>
        <sz val="9"/>
        <rFont val="Calibri"/>
        <family val="2"/>
        <scheme val="minor"/>
      </rPr>
      <t>Ce prix rémunère forfaitairement sans s'y limiter :
- Fourniture et installation de trois réservoirs d’eau élevées (château d’eau) de capacité de 1,600 gallons chaqu’un en plastique ou en fibre de verre et muni de couvercle.  Spécificités selon plans et cahier des charges y compris conduits et pièces spéciales de branchement vers le système d’eau froid.
- Toute autre travail de nature similaire et connexe.</t>
    </r>
  </si>
  <si>
    <r>
      <t xml:space="preserve">RESERVOIR D'EAU - CITERNE ENTERREE </t>
    </r>
    <r>
      <rPr>
        <sz val="9"/>
        <rFont val="Calibri"/>
        <family val="2"/>
        <scheme val="minor"/>
      </rPr>
      <t>Ce prix rémunère forfaitairement sans s'y limiter :
- La construction d’un réservoir d’eau enterré (citerne) de 85 000 litres selon plans.  Spécificités selon plans et cahier des charges y compris conduits et pièces spéciales de branchement.
- comprenant exécution d'une fouille en terrain de toutes natures, profondeur selon plan, y compris remblayage ou chargement et évacuation des excédents, sur profondeur pour lit de pose, nivellement du fond de fouille, étaiement, blindage, croisements et longement de réseaux divers, épuisement des tranchées si nécessaire ;
- la fourniture, le transport et la mise en œuvre du remblai des tranchées sous surfaces, compactage par couche de 25 cm ;
- la fourniture et la pose de toutes les canalisations ;
- Toute autre travail de nature similaire et connexe.</t>
    </r>
  </si>
  <si>
    <r>
      <t xml:space="preserve">POMPES IMMERGÉES. </t>
    </r>
    <r>
      <rPr>
        <sz val="9"/>
        <rFont val="Calibri"/>
        <family val="2"/>
        <scheme val="minor"/>
      </rPr>
      <t>Fournir et installer quatre pompes immergées électriques définies aux plans, de pomper de 4HP minimum et les autres 2 pompes de 6HP, 110/220 Volts, monophasés ou équivalents tel qu’indiquées dans les plans.
Elles transféreront l’eau dans les châteaux d’eau ainsi que les appareils sanitaires, fontaines et évier. Les pompes seront de marque agréée par le Maître d’œuvre. Le débit, la pression, la longueur et la hauteur de refoulement sont des spécifications à tenir en compte pour choisir ces pompes avec précision pour un fonctionnement optimal du system d’approvisionnement d’eau. Cependant, les pompes doivent avoir un variateur de vitesse, un débit unitaire minimum de 7m3/h et une pression de 40 m.c.d.e. Complètement installé.
Les pompes seront équipées des dispositifs de sécurité tel que, des interrupteurs flottants au niveau du réservoir et des sondes de control au niveau des châteaux d’eau. Il y aura un tableau électrique pour alimentation et contrôle alimenté par toutes les sources d’alimentation électrique (par l’EDH, le groupe électrogène et le système de batteries) y compris protections, pressostats, bouton d’arrêt, démarrage et fonctionnement automatique pour chaque pompe, pilots de signalisation et compteur d’heures de fonctionnement.</t>
    </r>
  </si>
  <si>
    <r>
      <rPr>
        <b/>
        <sz val="10"/>
        <rFont val="Calibri"/>
        <family val="2"/>
        <scheme val="minor"/>
      </rPr>
      <t>RESEAU EAUX USEES</t>
    </r>
    <r>
      <rPr>
        <sz val="10"/>
        <rFont val="Calibri"/>
        <family val="2"/>
        <scheme val="minor"/>
      </rPr>
      <t xml:space="preserve">
</t>
    </r>
    <r>
      <rPr>
        <sz val="9"/>
        <rFont val="Calibri"/>
        <family val="2"/>
        <scheme val="minor"/>
      </rPr>
      <t>Ce prix rémunère forfaitairement sans s'y limiter :</t>
    </r>
  </si>
  <si>
    <r>
      <t xml:space="preserve">FOSSE SEPTIQUE </t>
    </r>
    <r>
      <rPr>
        <sz val="9"/>
        <rFont val="Calibri"/>
        <family val="2"/>
        <scheme val="minor"/>
      </rPr>
      <t>Ce prix rémunère forfaitairement sans s'y limiter :
- fourniture et installation de quatre fosses septiques de capacité de 800 gallons chaqu’un préfabriquées.  Spécificités selon plans et cahier des charges y compris conduits et pièces spéciales de branchement.
- comprenant exécution d'une fouille en terrain de toutes natures, profondeur selon plan, y compris remblayage ou chargement et évacuation des excédents, sur profondeur pour lit de pose, nivellement du fond de fouille, étaiement, blindage, croisements et longement de réseaux divers, épuisement des tranchées si nécessaire ;
- la fourniture, le transport et la mise en œuvre du remblai des tranchées sous surfaces, compactage par couche de 25 cm ;
- la fourniture et la pose de toutes les canalisations ;
- Toute autre travail de nature similaire et connexe.</t>
    </r>
  </si>
  <si>
    <r>
      <t xml:space="preserve">PUISARD </t>
    </r>
    <r>
      <rPr>
        <sz val="9"/>
        <rFont val="Calibri"/>
        <family val="2"/>
        <scheme val="minor"/>
      </rPr>
      <t>Ce prix rémunère forfaitairement sans s'y limiter :
- La construction des puisards maçonné.  Spécificités selon plans et cahier des charges y compris conduits et pièces spéciales de branchement.
- comprenant exécution d'une fouille en terrain de toutes natures, profondeur selon plan, y compris remblayage ou chargement et évacuation des excédents, sur profondeur pour lit de pose, nivellement du fond de fouille, étaiement, blindage, croisements et longement de réseaux divers, épuisement des tranchées si nécessaire ;
- la fourniture, le transport et la mise en œuvre du remblai des tranchées sous surfaces, compactage par couche de 25 cm ;
- la fourniture et la pose de toutes les canalisations ;
- Toute autre travail de nature similaire et connexe.</t>
    </r>
  </si>
  <si>
    <r>
      <t>GRILLES et REGARDS</t>
    </r>
    <r>
      <rPr>
        <sz val="9"/>
        <rFont val="Calibri"/>
        <family val="2"/>
        <scheme val="minor"/>
      </rPr>
      <t xml:space="preserve"> selon plans d'execution. Ce prix rémunère forfaitairement sans s'y limiter :
- la construction des tous les regards de visites nécessaires (selon plan) : fourniture et pose des avaloires, siphon, cunettes, grilles de surface et toutes les connections au réseau d'assainissement, y compris terrassements, rehausses, dalle de couvertue, cunette, remblayage périphérique, tampon, réglage et mise à niveau avant exécution des revêtements.</t>
    </r>
  </si>
  <si>
    <r>
      <t>TUYEAUX DE DRAINAGE DES EAUX DE PLUIS en PVC du type SCH40</t>
    </r>
    <r>
      <rPr>
        <sz val="9"/>
        <rFont val="Calibri"/>
        <family val="2"/>
        <scheme val="minor"/>
      </rPr>
      <t xml:space="preserve"> de diammetres selon plan, comprenant :
- l'exécution de terrassement en tranchée pour canalisations du système de captage de l'eau de pluie selon les spécifications et les plans d'exécution y compris réseaux enterrés vers le système d'égouts depuis les avaloirs et cunettes de surface. Sections et spécificités selon plans et cahier des charges. Hors descentes EP de la scène qui seront chiffrées dans le bâtiment.
- comprenant exécution d'une fouille simple pour canalisation, en terrain de toutes natures, profondeur selon plan, y compris remblayage ou chargement et évacuation des excédents, sur profondeur pour lit de pose, nivellement du fond de fouille, étaiement, blindage, croisements et longement de réseaux divers, épuisement des tranchées si nécessaire ;
- la fourniture, le transport et la mise en œuvre du remblai des tranchées sous surfaces, compactage par couche de 25 cm ;
- la fourniture et la pose de toutes les canalisations (comprend toutes les conduites pour l'installation sanitaire de type DWG pour connecter l'installation des bâtiments jusqu'aux équipements d'assainissement. Sections et spécificités selon plans et cahier des charges) en tranchée ouverte compris lit de pose épaisseur 10 cm et enrobage jusqu'à 10 cm au-dessus de la génératrice supérieure selon cahier de charges, raccordements aux regards ;
- fourniture de béton de protection sur canalisation de faible profondeur ;
- le raccordement étanche sur réseau existant si applicable, y compris pièces spéciales de branchement.
- Toute autre travail de nature similaire et connexe. Complètement installé.</t>
    </r>
  </si>
  <si>
    <r>
      <rPr>
        <b/>
        <sz val="10"/>
        <rFont val="Calibri"/>
        <family val="2"/>
        <scheme val="minor"/>
      </rPr>
      <t>RESEAU DE DRAINAGE DES EAUX DE PLUIE</t>
    </r>
    <r>
      <rPr>
        <sz val="10"/>
        <rFont val="Calibri"/>
        <family val="2"/>
        <scheme val="minor"/>
      </rPr>
      <t xml:space="preserve">
</t>
    </r>
    <r>
      <rPr>
        <sz val="9"/>
        <rFont val="Calibri"/>
        <family val="2"/>
        <scheme val="minor"/>
      </rPr>
      <t>Ce prix rémunère forfaitairement sans s'y limiter :</t>
    </r>
  </si>
  <si>
    <r>
      <t>REGARDS</t>
    </r>
    <r>
      <rPr>
        <sz val="9"/>
        <rFont val="Calibri"/>
        <family val="2"/>
        <scheme val="minor"/>
      </rPr>
      <t xml:space="preserve"> de branchement selon plans d'execution. Ce prix rémunère forfaitairement sans s'y limiter :
- la construction des tous les regards de visites nécessaires (selon plan) : fourniture et pose des avaloires, siphon, cunettes, grilles de surface et toutes les connections au réseau d'assainissement, y compris terrassements, rehausses, dalle de couvertue, cunette, remblayage périphérique, tampon, réglage et mise à niveau avant exécution des revêtements.</t>
    </r>
  </si>
  <si>
    <r>
      <t xml:space="preserve">RACCORDS, </t>
    </r>
    <r>
      <rPr>
        <sz val="9"/>
        <rFont val="Calibri"/>
        <family val="2"/>
        <scheme val="minor"/>
      </rPr>
      <t>les coudes ou de culottes de branchement (Y=45º et Te=90º) en PVC rigide en basse et haute pression, y compris les manchon de réduction, les bouchons, les siphons, ainsi que les tampon de visite (diammetres selon installation). Complètement installé.</t>
    </r>
  </si>
  <si>
    <r>
      <t xml:space="preserve">DRAIN FRANCAIS </t>
    </r>
    <r>
      <rPr>
        <sz val="9"/>
        <rFont val="Calibri"/>
        <family val="2"/>
        <scheme val="minor"/>
      </rPr>
      <t>Ce prix rémunère forfaitairement sans s'y limiter :
- La construction des Drains Français versant à la « Ravine du Sud ». Les tuyaux de drain à utiliser seront circulaires, de double couche, rainures en un angle de 220º (dimatres entre 150mm et 250mm), avec la couche intérieure lisse afin de rendre plus facile l’évacuation des eaux. Ils seront localisés dans une tranchée recouverte avec gravier et géotextile de 65 kg/cm2 afin d’éviter le bouchement des rainures. La pente des tuyaux de drain sera de 0.5%.
Les drains seront situés dans une tranchée sur un lit de sable et avec une pente minimale de 1%. Les registres seront localisés dans l’union des drains et les collecteurs généraux afin de rendre plus facile la maintenance et nettoyage périodique du réseau.
- Toute autre travail de nature similaire et connexe.</t>
    </r>
  </si>
  <si>
    <r>
      <t xml:space="preserve">DECANTEUR (1,20x1,50x0,60) </t>
    </r>
    <r>
      <rPr>
        <sz val="9"/>
        <rFont val="Calibri"/>
        <family val="2"/>
        <scheme val="minor"/>
      </rPr>
      <t>Ce prix rémunère forfaitairement sans s'y limiter :
- la construction d'un decanteur avec blocs de beton selon plans. Spécificités selon plans et cahier des charges y compris conduits et pièces spéciales de branchement.
- comprenant exécution d'une fouille en terrain de toutes natures, profondeur selon plan, y compris remblayage ou chargement et évacuation des excédents, sur profondeur pour lit de pose, nivellement du fond de fouille, étaiement, blindage, croisements et longement de réseaux divers, épuisement des tranchées si nécessaire ;
- la fourniture, le transport et la mise en œuvre du remblai des tranchées sous surfaces, compactage par couche de 25 cm ;
- la fourniture et la pose de toutes les canalisations ;
- Toute autre travail de nature similaire et connexe.</t>
    </r>
  </si>
  <si>
    <r>
      <rPr>
        <sz val="10"/>
        <rFont val="Calibri"/>
        <family val="2"/>
        <scheme val="minor"/>
      </rPr>
      <t>CONDUITES</t>
    </r>
    <r>
      <rPr>
        <sz val="9"/>
        <rFont val="Calibri"/>
        <family val="2"/>
        <scheme val="minor"/>
      </rPr>
      <t xml:space="preserve"> pour l'installation hydraulique (Les conduites pour eau sous pression seront du type SCH80) de diamètre extérieur 3/4", 1", 1-1/2", et 2". La fourniture et l’installation du réseau d’approvisionnement d’eau froide comprenant à chaque un des batiments : tous les conduits d’alimentation et distribution ; éléments de fixation et de supports ; le remblaiement au-dessus de la canalisation sous terrain ; fouilles de tranches ; entailles et percements dans la maçonnerie ou le béton nécessaires à l’installation de tuyaux. Tuyau rigide de protection en PVC de dimammetres selon plan. Complètement installé, y compris :
- l'exécution de terrassement en tranchée pour canalisations comprenant exécution d'une fouille simple pour canalisation, en terrain de toutes natures, profondeur selon plans, y compris remblayage ou chargement et évacuation des excédents, sur profondeur pour lit de pose, nivellement du fond de fouille, étaiement, blindage, croisements et longement de réseaux divers, épuisement des tranchées si nécessaire.
- la fourniture, le transport et la mise en œuvre du remblai des tranchées sous surfaces, compactage par couche de 25 cm ;
- la fourniture et la pose de toutes les canalisations (conduites pour l'installation hydraulique pour eau sous pression selon type : voir plans d’exécution) en tranchée ouverte compris lit de pose épaisseur 10 cm et enrobage jusqu'à 10 cm au-dessus de la génératrice supérieure selon cahier de charges, raccordements aux regards ;
- fourniture de béton de protection sur canalisation de faible profondeur.</t>
    </r>
  </si>
  <si>
    <r>
      <rPr>
        <sz val="10"/>
        <rFont val="Calibri"/>
        <family val="2"/>
        <scheme val="minor"/>
      </rPr>
      <t>RACCORDS</t>
    </r>
    <r>
      <rPr>
        <sz val="9"/>
        <rFont val="Calibri"/>
        <family val="2"/>
        <scheme val="minor"/>
      </rPr>
      <t>, les coudes ou de culottes de branchement (Y=45º et Te=90º) en PVC rigide en basse et haute pression, y compris les manchon de réduction, les bouchons, les siphons, ainsi que les tampon de visite (diammetres selon installation). Complètement installé.</t>
    </r>
  </si>
  <si>
    <r>
      <rPr>
        <sz val="10"/>
        <rFont val="Calibri"/>
        <family val="2"/>
        <scheme val="minor"/>
      </rPr>
      <t>VANNES D'ARRÊT</t>
    </r>
    <r>
      <rPr>
        <sz val="9"/>
        <rFont val="Calibri"/>
        <family val="2"/>
        <scheme val="minor"/>
      </rPr>
      <t xml:space="preserve"> de diamettre selon plan d'execution y compris les regard en polyéthylène haute densité, avec couvercle étanche à joint, fermeture par vis, d'un clapet à boule PVC-U, deux attentes en PVC pression. Complètement installé.</t>
    </r>
  </si>
  <si>
    <r>
      <t xml:space="preserve">TUYEAUX D'ÉVACUATION en PVC du type SCH40 de diammetres selon plan, comprenant :
</t>
    </r>
    <r>
      <rPr>
        <sz val="9"/>
        <rFont val="Calibri"/>
        <family val="2"/>
        <scheme val="minor"/>
      </rPr>
      <t>- l'exécution de terrassement en tranchée pour canalisations : exécution d'une fouille simple en tranchée ouverte compris lit de pose épaisseur 10 cm et enrobage jusqu'à 10 cm au-dessus de la génératrice supérieure (terrasement en terrain de toutes natures, profondeur selon plans, y compris remblayage ou chargement et évacuation des excédents, sur profondeur pour lit de pose, nivellement du fond de fouille, étaiement, blindage, croisements et longement de réseaux divers, épuisement des tranchées si nécessaire ;
- la fourniture, le transport et la mise en œuvre du remblai des tranchées sous surfaces, compactage par couche de 25 cm ;
- la fourniture et la pose de toutes les canalisations : comprend toutes les conduites pour l'installation sanitaire de type DWG pour connecter l'installation des bâtiments jusqu'aux équipements d'assainissement (fosses septiques et puisard). Sections et spécificités selon plans et cahier des charges ;
- fourniture de béton de protection sur canalisation de faible profondeur ;
- le raccordement étanche sur réseau existant si applicable, y compris pièces spéciales de branchement.
- Toute autre travail de nature similaire et connexe. tous les conduits de drainage ; éléments de fixation et de supports ; le remblaiement au-dessus de la canalisation sous terrain ; fouilles de tranches ; entailles et percements dans la maçonnerie ou le béton nécessaires à l’installation de tuyaux. Tuyau rigide de protection en PVC de dimammetres selon plan. Complètement installé.</t>
    </r>
  </si>
  <si>
    <r>
      <t xml:space="preserve">SYSTEME DE MISE A LA TERRE
</t>
    </r>
    <r>
      <rPr>
        <sz val="9"/>
        <rFont val="Calibri"/>
        <family val="2"/>
        <scheme val="minor"/>
      </rPr>
      <t>Ce Prix rémunère l’installation d’un système de mise à la terre. Chaque bâtiment sera pourvu d’une mise à terre où se connecteront tous les volumes du bâtiment avec leur branchement électrique.
La mise à terre consistera en conducteurs de mise à terre nus au niveau des fondations en contact avec le terrain. Ils connecteront la structure du bâtiment à une série de piques de mise à terre afin de garantir une valeur de mise à terre inférieure à 25 ohms (1.14.5 CNBH). Il faudra pour cela que soient enterrées une quantité suffisante d'électrodes reliés au maillage jusqu'à obtenir la valeur de la norme. Ces électrodes de mise à la terre seront ancrées de façon que leur partie supérieure soit à au moins 40 cm par dessous le niveau du sol. Tout compris.
(Voir Cahier des charges pour les spécifications techniques)</t>
    </r>
  </si>
  <si>
    <r>
      <t xml:space="preserve">SYSTEME DE PROTECTION CONTRE LA FOUDRE (PARATONNERRES)
</t>
    </r>
    <r>
      <rPr>
        <sz val="9"/>
        <rFont val="Calibri"/>
        <family val="2"/>
        <scheme val="minor"/>
      </rPr>
      <t>Ce prix rémunère l’installation et montage d’une système de protection contre la foudre. Le montage du système comprendre : Toutes les bornes aériennes, les conducteurs de captation, les conducteurs de descente, toutes les fixations, les éléments de prise de terre, les regards de visite, le raccordement des conducteurs, les prise de terre commune, et autres activités ou éléments de même nature. Tout compris.
(Voir Cahier des charges pour les spécifications techniques)</t>
    </r>
  </si>
  <si>
    <r>
      <rPr>
        <b/>
        <sz val="10"/>
        <rFont val="Calibri"/>
        <family val="2"/>
        <scheme val="minor"/>
      </rPr>
      <t>INSTALLATIONS ELECTRIQUES GENERALES</t>
    </r>
    <r>
      <rPr>
        <sz val="10"/>
        <rFont val="Calibri"/>
        <family val="2"/>
        <scheme val="minor"/>
      </rPr>
      <t xml:space="preserve">
</t>
    </r>
    <r>
      <rPr>
        <sz val="9"/>
        <rFont val="Calibri"/>
        <family val="2"/>
        <scheme val="minor"/>
      </rPr>
      <t>Ce prix rémunère forfaitairement sans s'y limiter :
- fouille pour la tuyauterie souterraine et canalisation ;
- fourniture et installation des câbles de distribution (circuits selon plans)
- fourniture et installation du système d’éclairage : des lampes et luminaires y compris les projecteurs, points lumineux et appliques (selon plans) ;
- fourniture et installation des tous les interrupteurs requis (selon plans) ;
- fourniture et installation du système de prise électriques et système de force (selon plans) ;
- fourniture et installation des conduits PVC (diamètres selon plans) et ses accessoires de connexion (Connecteurs, Courbes 90G, Pipe strap, Raccords PVC et autres) ;
- fourniture et installation du circuit de terre et système de mise à la terre ;
- branchement au local technique - connecté au Cadre General de Basse Tension (CGBT) ;
- tous les activités nécessaires pour rendre le travail complet et parfait à tous les égards, même s’ils ne sont pas particulièrement spécifiés, devront être fournis et installés par l’entrepreneur sans frais additionnel pour le Propriétaire.</t>
    </r>
  </si>
  <si>
    <r>
      <rPr>
        <b/>
        <sz val="10"/>
        <rFont val="Calibri"/>
        <family val="2"/>
        <scheme val="minor"/>
      </rPr>
      <t xml:space="preserve">SYSTÈMES HYDRAULIQUE ET D’ASSAINISSEMENT, Y COMPRIS LES SYSTEME PLUVIAL.
</t>
    </r>
    <r>
      <rPr>
        <sz val="9"/>
        <rFont val="Calibri"/>
        <family val="2"/>
        <scheme val="minor"/>
      </rPr>
      <t>Ce prix rémunère forfaitairement sans s'y limiter :
Les travaux inclus dans la présente section comprennent, sans s’y limiter, la fourniture de tous les matériaux, le matériel, les pièces spéciales, les appareils sanitaires, l’approvisionnement et les services, la machinerie, la main-d’œuvre et le transport nécessaire à l’exécution des travaux reliés à l’installation des réseaux d’alimentation en eau froide, du drainage des eaux pluviales des toitures ainsi que divers travaux connexes. Comprenant notamment :
- la fourniture et l’installation du réseau d’évacuation et de ventilation des eaux usées ;
- la fourniture et l’installation des réseaux complets d’évacuation d’eau pluviale reliées aux réservoirs y compris tous les accessoires nécessaires ;
- fourniture et installation appareils sanitaires aux endroits indiqués sur les plans y compris tous les accessoires nécessaires pour l’installation tel que : les vannes d’arrêt d’équerre en laiton (angle vanne) ; les flexibles de raccordement en polyéthylène ; les siphons de diamètre approprié ; Les crépines ; les robinets des lavabos et des éviers ; les poires de douche et des robinets ; toutes les vannes nécessaires, incluant les vannes d’arrêt (selon plans d’exécution et cahier de charges) ;
- fourniture et installation des accessoires de toilettes et ses matériaux ;
- l’installation de robinetterie pour une douche (tuyauterie, vannes, poires douche et crépines) ;
- branchement aux collecteurs principaux par tuyaux de PVC ou PE, avec une pente minimum de 1.5% et avec les diamètres appropriés selon plan d’exécution et la fourniture et l’installation du matériel de raccordement aux fosses septiques et aux puisards ;
- les excavations, les regards et les drains tels qu’indiqués dans les plans ;
- réseau d’assainissement pour la collecte des eaux de pluie : fabrication et installation de toutes les gouttières et colonnes de descente d’eau principale pour le drainage de l’eau de pluie y compris les accessoires nécessaires ;
- Autres activités connexes (selon plans d’exécution et cahier de charges).</t>
    </r>
  </si>
  <si>
    <r>
      <rPr>
        <b/>
        <sz val="10"/>
        <rFont val="Calibri"/>
        <family val="2"/>
        <scheme val="minor"/>
      </rPr>
      <t xml:space="preserve">RÉSEAU DATA
</t>
    </r>
    <r>
      <rPr>
        <sz val="9"/>
        <rFont val="Calibri"/>
        <family val="2"/>
        <scheme val="minor"/>
      </rPr>
      <t>Ce prix rémunère forfaitairement sans s'y limiter :
L’installation d’un réseau de data sans fil (WI-FI) pour établir la connexion sans fil y compris :
- l’installation d’un routeur sans fil soit branché sur la connexion Internet et que tous les paramètres requis soient correctement définis.
Installation des points d’accès WiFi implantés dans tous les bâtiments en utilisant des amplificateurs sans câble et/ou des répétiteurs WiFi (selon plans d’exécution) ;
- Installation des accessoires nécessaires pour l’installation des dispositifs qui reçoivent le signal sans fil et le rediffuse.
- Installation des conduits, du câblages et connecteurs nécessaires ;
- Installation des canalisation nécessaires comprenant les connecteurs et les panels de control ;
- Installation du système de TV (si requis – voir dans le plan d’execution), - Autres activités connexes.</t>
    </r>
  </si>
  <si>
    <r>
      <rPr>
        <b/>
        <sz val="10"/>
        <rFont val="Calibri"/>
        <family val="2"/>
        <scheme val="minor"/>
      </rPr>
      <t xml:space="preserve">CLOISONS EN POLYCARBONATE
</t>
    </r>
    <r>
      <rPr>
        <sz val="9"/>
        <rFont val="Calibri"/>
        <family val="2"/>
        <scheme val="minor"/>
      </rPr>
      <t>Fourniture et mise en œuvre de cloison de plaques planes en polycarbonate alvéolaire claire, épaisseur 10mm et double paroi, avec protection contre les rayons UV sur la face extérieure, visés sur structure métallique d’acier galvanisé formée par profils verticaux rectangulaires d’acier galvanisé 50x100x2mm/2x4x1/10” et horizontaux en L 30x45x2mm, fixés à la structure du bâtiment. Elément de construction fini complètement, tout compris (angles L pour l’ancrage de la structure, clous en nylon, vis pour fixations mécaniques, soudures, ruban adhésif lisse sur le périmètre supérieur des plaques de polycarbonate, microperforé sur l’inférieur, profils en U aux jonctions des plaques, en U sur le périmètre, etc.
Mise en œuvre d’ossature et plaques de polycarbonate suivant le cahier technique et recommandations du fabricant. 
Voir plans de distribution et détails. Mesures et mise en œuvre à valider sur chantier par la supervision.</t>
    </r>
  </si>
  <si>
    <r>
      <rPr>
        <b/>
        <sz val="10"/>
        <rFont val="Calibri"/>
        <family val="2"/>
        <scheme val="minor"/>
      </rPr>
      <t>GARDE-CORPS ET MAIN COURANTE en acier brut</t>
    </r>
    <r>
      <rPr>
        <sz val="10"/>
        <rFont val="Calibri"/>
        <family val="2"/>
        <scheme val="minor"/>
      </rPr>
      <t xml:space="preserve">, </t>
    </r>
    <r>
      <rPr>
        <sz val="9"/>
        <rFont val="Calibri"/>
        <family val="2"/>
        <scheme val="minor"/>
      </rPr>
      <t>types de profiles selon plans, hauteur 100CM et espaces entre les barreaux de 10CM. La fabrication, la soudure, les détails d'assemblage doivent être conformes aux normes de l'A.I.S.C. Compris la fabrication, la main d'œuvre, la finition et toutes fourniture et sujétions de mise en œuvre.</t>
    </r>
  </si>
  <si>
    <t>UNITE</t>
  </si>
  <si>
    <t>BETON ARME DALLE PARQUET</t>
  </si>
  <si>
    <t>REMBLAIS COMPACTE SOUS DALLE FLOTTANTE</t>
  </si>
  <si>
    <t>COUCHE DE SABLE SOUS DALLE FLOTTANTE (DALLAGE PARQUET)</t>
  </si>
  <si>
    <t>BÉTON ARMÉ POUR mur de refend</t>
  </si>
  <si>
    <r>
      <t xml:space="preserve">BÉTON ARMÉ FONDATION EN DALLE FLOTTANTE
</t>
    </r>
    <r>
      <rPr>
        <sz val="9"/>
        <rFont val="Calibri"/>
        <family val="2"/>
      </rPr>
      <t>Dalle flottante monolithique (large plaque de béton r) servant de plancher qui repose sur une couche de fonçage à sec à base de gravillon de 15 cm d'épaisseur sous dalle, et du remblai structurel d’épaisseur de 75 cm minimum. Aura un béton de résistance à la compression de 31 MPa conforme aux spécifications techniques des Plans de Structures et des Coupes des fondations. L’épaisseur de la dalle est modifiée sous chaque-une des colonnes et murs (semelles et poutres de fondation - voir dimensions dans le plans), il est nécessaire d’utiliser du béton de propreté pour créer la forme définit aux plans (béton maigre non structurel coulé sur le fonçage du gravillon, épaisseur 5 cm).
Caractéristiques de béton et d’armatures, et spécifications techniques de mise en œuvre, conformes aux plans de structure. Voir plans et détails de structure. Tout compris (matériaux, coffrage, fabrication d’armatures, matériel accessoire, main d’œuvre, etc.)</t>
    </r>
  </si>
  <si>
    <t>Mur de refend en béton armé</t>
  </si>
  <si>
    <t>BÉTON ARMÉ FONDATION EN DALLE FLOTTANTE
Dalle flottante monolithique (large plaque de béton – dalle radier) servant de plancher qui repose sur une couche de fonçage à sec à base de gravillon de 15 cm d'épaisseur sous dalle, et du remblai structurel d’épaisseur de 75 cm minimum. Aura un béton de résistance à la compression de 31 MPa conforme aux spécifications techniques des Plans de Structures et des Coupes des fondations. L’épaisseur de la dalle est modifiée sous chaque-une des colonnes et murs (semelles et poutres de fondation - voir dimensions dans le plans), il est nécessaire d’utiliser du béton de propreté pour créer la forme définit aux plans (béton maigre non structurel coulé sur le fonçage du gravillon, épaisseur 5 cm).
Caractéristiques de béton et d’armatures, et spécifications techniques de mise en œuvre, conformes aux plans de structure. Voir plans et détails de structure. Tout compris (matériaux, coffrage, fabrication d’armatures, matériel accessoire, main d’œuvre, etc.)</t>
  </si>
  <si>
    <t>BÉTON ARMÉ POUR MUR DE REFEND</t>
  </si>
  <si>
    <t xml:space="preserve">BÉTON ARMÉ POUR MUR DE REFEND </t>
  </si>
  <si>
    <t>Une seule fondation est calculée pour le module (voir section 05: AUDITORIUM)</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</si>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</sst>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0.00\ _€_-;\-* #,##0.00\ _€_-;_-* &quot;-&quot;??\ _€_-;_-@_-"/>
    <numFmt numFmtId="165" formatCode="&quot;$&quot;#,##0.00"/>
    <numFmt numFmtId="166" formatCode="#,##0.00\ [$USD]"/>
    <numFmt numFmtId="167" formatCode="_-* #,##0.00\ [$USD]_-;\-* #,##0.00\ [$USD]_-;_-* &quot;-&quot;??\ [$USD]_-;_-@_-"/>
  </numFmts>
  <fonts count="53" x14ac:knownFonts="1">
    <font>
      <sz val="11"/>
      <color theme="1"/>
      <name val="Calibri"/>
      <family val="2"/>
      <scheme val="minor"/>
    </font>
    <font>
      <sz val="11"/>
      <color theme="1"/>
      <name val="Calibri"/>
      <family val="2"/>
      <scheme val="minor"/>
    </font>
    <font>
      <b/>
      <sz val="11"/>
      <color theme="1"/>
      <name val="Calibri"/>
      <family val="2"/>
      <scheme val="minor"/>
    </font>
    <font>
      <sz val="11"/>
      <name val="Calibri"/>
      <family val="2"/>
      <scheme val="minor"/>
    </font>
    <font>
      <sz val="9"/>
      <name val="Calibri"/>
      <family val="2"/>
      <scheme val="minor"/>
    </font>
    <font>
      <b/>
      <sz val="11"/>
      <color theme="0"/>
      <name val="Calibri"/>
      <family val="2"/>
      <scheme val="minor"/>
    </font>
    <font>
      <sz val="10"/>
      <color theme="1"/>
      <name val="Calibri"/>
      <family val="2"/>
      <scheme val="minor"/>
    </font>
    <font>
      <b/>
      <sz val="10"/>
      <name val="Calibri"/>
      <family val="2"/>
      <scheme val="minor"/>
    </font>
    <font>
      <sz val="10"/>
      <name val="Calibri"/>
      <family val="2"/>
      <scheme val="minor"/>
    </font>
    <font>
      <b/>
      <sz val="10"/>
      <color theme="1"/>
      <name val="Calibri"/>
      <family val="2"/>
      <scheme val="minor"/>
    </font>
    <font>
      <sz val="10"/>
      <color theme="1"/>
      <name val="Arial"/>
      <family val="2"/>
    </font>
    <font>
      <b/>
      <sz val="10"/>
      <color theme="1"/>
      <name val="Arial"/>
      <family val="2"/>
    </font>
    <font>
      <sz val="10"/>
      <name val="Arial"/>
      <family val="2"/>
    </font>
    <font>
      <sz val="11"/>
      <color rgb="FF000000"/>
      <name val="Century Gothic"/>
      <family val="2"/>
    </font>
    <font>
      <sz val="10"/>
      <color rgb="FF000000"/>
      <name val="Calibri"/>
      <family val="2"/>
      <scheme val="minor"/>
    </font>
    <font>
      <b/>
      <sz val="10"/>
      <color rgb="FF000000"/>
      <name val="Calibri"/>
      <family val="2"/>
      <scheme val="minor"/>
    </font>
    <font>
      <sz val="11"/>
      <color theme="1"/>
      <name val="Calibri"/>
      <family val="2"/>
      <scheme val="minor"/>
    </font>
    <font>
      <sz val="10"/>
      <color theme="1"/>
      <name val="Calibri"/>
      <family val="2"/>
      <scheme val="minor"/>
    </font>
    <font>
      <sz val="10"/>
      <color rgb="FF000000"/>
      <name val="Calibri"/>
      <family val="2"/>
      <scheme val="minor"/>
    </font>
    <font>
      <b/>
      <sz val="11"/>
      <color theme="1"/>
      <name val="Calibri"/>
      <family val="2"/>
      <scheme val="minor"/>
    </font>
    <font>
      <sz val="14"/>
      <color theme="1"/>
      <name val="Calibri"/>
      <family val="2"/>
      <scheme val="minor"/>
    </font>
    <font>
      <sz val="11"/>
      <color theme="1"/>
      <name val="Calibri"/>
      <family val="2"/>
      <scheme val="minor"/>
    </font>
    <font>
      <sz val="10"/>
      <color theme="1"/>
      <name val="Calibri"/>
      <family val="2"/>
      <scheme val="minor"/>
    </font>
    <font>
      <sz val="10"/>
      <color rgb="FF000000"/>
      <name val="Calibri"/>
      <family val="2"/>
      <scheme val="minor"/>
    </font>
    <font>
      <b/>
      <sz val="11"/>
      <color theme="1"/>
      <name val="Calibri"/>
      <family val="2"/>
      <scheme val="minor"/>
    </font>
    <font>
      <sz val="24"/>
      <color theme="1"/>
      <name val="Calibri"/>
      <family val="2"/>
      <scheme val="minor"/>
    </font>
    <font>
      <sz val="11"/>
      <color theme="1"/>
      <name val="Calibri"/>
      <family val="2"/>
      <scheme val="minor"/>
    </font>
    <font>
      <b/>
      <sz val="12"/>
      <color theme="1"/>
      <name val="Calibri"/>
      <family val="2"/>
      <scheme val="minor"/>
    </font>
    <font>
      <sz val="12"/>
      <color theme="1"/>
      <name val="Calibri"/>
      <family val="2"/>
      <scheme val="minor"/>
    </font>
    <font>
      <b/>
      <sz val="10"/>
      <color theme="1"/>
      <name val="Calibri"/>
      <family val="2"/>
      <scheme val="minor"/>
    </font>
    <font>
      <b/>
      <sz val="12"/>
      <name val="Calibri"/>
      <family val="2"/>
      <scheme val="minor"/>
    </font>
    <font>
      <b/>
      <sz val="11"/>
      <color rgb="FFFF0000"/>
      <name val="Calibri"/>
      <family val="2"/>
      <scheme val="minor"/>
    </font>
    <font>
      <b/>
      <sz val="12"/>
      <color rgb="FFFF0000"/>
      <name val="Calibri"/>
      <family val="2"/>
      <scheme val="minor"/>
    </font>
    <font>
      <sz val="10"/>
      <color theme="1"/>
      <name val="Arial"/>
      <family val="2"/>
    </font>
    <font>
      <b/>
      <sz val="10"/>
      <color theme="1"/>
      <name val="Arial"/>
      <family val="2"/>
    </font>
    <font>
      <sz val="10"/>
      <color theme="1"/>
      <name val="Calibri"/>
      <family val="2"/>
      <scheme val="minor"/>
    </font>
    <font>
      <sz val="9"/>
      <color theme="1"/>
      <name val="Calibri"/>
      <family val="2"/>
      <scheme val="minor"/>
    </font>
    <font>
      <sz val="12"/>
      <name val="Calibri"/>
      <family val="2"/>
      <scheme val="minor"/>
    </font>
    <font>
      <sz val="18"/>
      <name val="Calibri"/>
      <family val="2"/>
      <scheme val="minor"/>
    </font>
    <font>
      <sz val="11"/>
      <color theme="1"/>
      <name val="Calibri"/>
      <family val="2"/>
    </font>
    <font>
      <sz val="10"/>
      <color rgb="FF000000"/>
      <name val="Calibri"/>
      <family val="2"/>
    </font>
    <font>
      <b/>
      <sz val="10"/>
      <name val="Calibri"/>
      <family val="2"/>
    </font>
    <font>
      <sz val="9"/>
      <name val="Calibri"/>
      <family val="2"/>
    </font>
    <font>
      <sz val="11"/>
      <name val="Calibri"/>
      <family val="2"/>
    </font>
    <font>
      <sz val="10"/>
      <name val="Calibri"/>
      <family val="2"/>
    </font>
    <font>
      <b/>
      <sz val="10"/>
      <color rgb="FF000000"/>
      <name val="Arial"/>
      <family val="2"/>
    </font>
    <font>
      <sz val="11"/>
      <color rgb="FFFF0000"/>
      <name val="Calibri"/>
      <family val="2"/>
      <scheme val="minor"/>
    </font>
    <font>
      <b/>
      <sz val="10"/>
      <color theme="0"/>
      <name val="Calibri"/>
      <family val="2"/>
      <scheme val="minor"/>
    </font>
    <font>
      <sz val="9"/>
      <color theme="1"/>
      <name val="Calibri"/>
      <family val="2"/>
    </font>
    <font>
      <sz val="20"/>
      <color theme="1"/>
      <name val="Calibri"/>
      <family val="2"/>
      <scheme val="minor"/>
    </font>
    <font>
      <i/>
      <sz val="10"/>
      <name val="Calibri"/>
      <family val="2"/>
      <scheme val="minor"/>
    </font>
    <font>
      <i/>
      <sz val="8"/>
      <name val="Calibri"/>
      <family val="2"/>
      <scheme val="minor"/>
    </font>
    <font>
      <b/>
      <u/>
      <sz val="12"/>
      <color rgb="FFFF0000"/>
      <name val="Calibri"/>
      <family val="2"/>
    </font>
  </fonts>
  <fills count="19">
    <fill>
      <patternFill patternType="none"/>
    </fill>
    <fill>
      <patternFill patternType="gray125"/>
    </fill>
    <fill>
      <patternFill patternType="solid">
        <fgColor theme="0" tint="-0.249977111117893"/>
        <bgColor indexed="64"/>
      </patternFill>
    </fill>
    <fill>
      <patternFill patternType="solid">
        <fgColor theme="2"/>
        <bgColor indexed="64"/>
      </patternFill>
    </fill>
    <fill>
      <patternFill patternType="solid">
        <fgColor theme="1"/>
        <bgColor indexed="64"/>
      </patternFill>
    </fill>
    <fill>
      <patternFill patternType="solid">
        <fgColor theme="0" tint="-4.9989318521683403E-2"/>
        <bgColor indexed="64"/>
      </patternFill>
    </fill>
    <fill>
      <patternFill patternType="solid">
        <fgColor theme="0"/>
        <bgColor indexed="64"/>
      </patternFill>
    </fill>
    <fill>
      <patternFill patternType="solid">
        <fgColor rgb="FFFF0000"/>
        <bgColor indexed="64"/>
      </patternFill>
    </fill>
    <fill>
      <patternFill patternType="solid">
        <fgColor rgb="FFBFBFBF"/>
        <bgColor rgb="FF000000"/>
      </patternFill>
    </fill>
    <fill>
      <patternFill patternType="solid">
        <fgColor rgb="FFFFC000"/>
        <bgColor indexed="64"/>
      </patternFill>
    </fill>
    <fill>
      <patternFill patternType="solid">
        <fgColor rgb="FFFFFF00"/>
        <bgColor indexed="64"/>
      </patternFill>
    </fill>
    <fill>
      <patternFill patternType="solid">
        <fgColor rgb="FF92D050"/>
        <bgColor indexed="64"/>
      </patternFill>
    </fill>
    <fill>
      <patternFill patternType="solid">
        <fgColor rgb="FF00B050"/>
        <bgColor indexed="64"/>
      </patternFill>
    </fill>
    <fill>
      <patternFill patternType="solid">
        <fgColor rgb="FF00B0F0"/>
        <bgColor indexed="64"/>
      </patternFill>
    </fill>
    <fill>
      <patternFill patternType="solid">
        <fgColor rgb="FF0070C0"/>
        <bgColor indexed="64"/>
      </patternFill>
    </fill>
    <fill>
      <patternFill patternType="solid">
        <fgColor rgb="FF7030A0"/>
        <bgColor indexed="64"/>
      </patternFill>
    </fill>
    <fill>
      <patternFill patternType="solid">
        <fgColor theme="7" tint="0.79998168889431442"/>
        <bgColor indexed="64"/>
      </patternFill>
    </fill>
    <fill>
      <patternFill patternType="solid">
        <fgColor theme="6" tint="0.79998168889431442"/>
        <bgColor indexed="64"/>
      </patternFill>
    </fill>
    <fill>
      <patternFill patternType="solid">
        <fgColor theme="7" tint="0.59999389629810485"/>
        <bgColor indexed="64"/>
      </patternFill>
    </fill>
  </fills>
  <borders count="73">
    <border>
      <left/>
      <right/>
      <top/>
      <bottom/>
      <diagonal/>
    </border>
    <border>
      <left style="medium">
        <color indexed="64"/>
      </left>
      <right style="medium">
        <color indexed="64"/>
      </right>
      <top style="medium">
        <color indexed="64"/>
      </top>
      <bottom style="medium">
        <color indexed="64"/>
      </bottom>
      <diagonal/>
    </border>
    <border>
      <left/>
      <right/>
      <top style="thin">
        <color indexed="64"/>
      </top>
      <bottom style="thin">
        <color indexed="64"/>
      </bottom>
      <diagonal/>
    </border>
    <border>
      <left/>
      <right/>
      <top style="medium">
        <color indexed="64"/>
      </top>
      <bottom/>
      <diagonal/>
    </border>
    <border>
      <left style="medium">
        <color indexed="64"/>
      </left>
      <right/>
      <top/>
      <bottom/>
      <diagonal/>
    </border>
    <border>
      <left style="medium">
        <color indexed="64"/>
      </left>
      <right/>
      <top style="medium">
        <color indexed="64"/>
      </top>
      <bottom/>
      <diagonal/>
    </border>
    <border>
      <left/>
      <right style="medium">
        <color indexed="64"/>
      </right>
      <top style="medium">
        <color indexed="64"/>
      </top>
      <bottom/>
      <diagonal/>
    </border>
    <border>
      <left/>
      <right/>
      <top style="hair">
        <color indexed="64"/>
      </top>
      <bottom style="hair">
        <color indexed="64"/>
      </bottom>
      <diagonal/>
    </border>
    <border>
      <left/>
      <right/>
      <top/>
      <bottom style="hair">
        <color auto="1"/>
      </bottom>
      <diagonal/>
    </border>
    <border>
      <left/>
      <right/>
      <top style="hair">
        <color indexed="64"/>
      </top>
      <bottom/>
      <diagonal/>
    </border>
    <border>
      <left style="medium">
        <color indexed="64"/>
      </left>
      <right/>
      <top style="double">
        <color indexed="64"/>
      </top>
      <bottom style="double">
        <color indexed="64"/>
      </bottom>
      <diagonal/>
    </border>
    <border>
      <left/>
      <right/>
      <top style="double">
        <color indexed="64"/>
      </top>
      <bottom style="double">
        <color indexed="64"/>
      </bottom>
      <diagonal/>
    </border>
    <border>
      <left/>
      <right/>
      <top style="double">
        <color indexed="64"/>
      </top>
      <bottom style="hair">
        <color auto="1"/>
      </bottom>
      <diagonal/>
    </border>
    <border>
      <left style="double">
        <color auto="1"/>
      </left>
      <right/>
      <top style="double">
        <color auto="1"/>
      </top>
      <bottom style="double">
        <color auto="1"/>
      </bottom>
      <diagonal/>
    </border>
    <border>
      <left/>
      <right style="double">
        <color auto="1"/>
      </right>
      <top style="double">
        <color auto="1"/>
      </top>
      <bottom style="double">
        <color auto="1"/>
      </bottom>
      <diagonal/>
    </border>
    <border>
      <left style="medium">
        <color indexed="64"/>
      </left>
      <right style="double">
        <color indexed="64"/>
      </right>
      <top style="double">
        <color indexed="64"/>
      </top>
      <bottom style="double">
        <color indexed="64"/>
      </bottom>
      <diagonal/>
    </border>
    <border>
      <left/>
      <right style="double">
        <color indexed="64"/>
      </right>
      <top style="hair">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right style="double">
        <color indexed="64"/>
      </right>
      <top style="hair">
        <color indexed="64"/>
      </top>
      <bottom/>
      <diagonal/>
    </border>
    <border>
      <left style="double">
        <color indexed="64"/>
      </left>
      <right/>
      <top style="double">
        <color indexed="64"/>
      </top>
      <bottom style="hair">
        <color auto="1"/>
      </bottom>
      <diagonal/>
    </border>
    <border>
      <left/>
      <right style="double">
        <color indexed="64"/>
      </right>
      <top style="double">
        <color indexed="64"/>
      </top>
      <bottom style="hair">
        <color auto="1"/>
      </bottom>
      <diagonal/>
    </border>
    <border>
      <left style="double">
        <color indexed="64"/>
      </left>
      <right/>
      <top/>
      <bottom style="hair">
        <color indexed="64"/>
      </bottom>
      <diagonal/>
    </border>
    <border>
      <left/>
      <right style="double">
        <color indexed="64"/>
      </right>
      <top/>
      <bottom style="hair">
        <color indexed="64"/>
      </bottom>
      <diagonal/>
    </border>
    <border>
      <left style="double">
        <color rgb="FFFF0000"/>
      </left>
      <right/>
      <top style="double">
        <color rgb="FFFF0000"/>
      </top>
      <bottom style="double">
        <color rgb="FFFF0000"/>
      </bottom>
      <diagonal/>
    </border>
    <border>
      <left/>
      <right/>
      <top style="double">
        <color rgb="FFFF0000"/>
      </top>
      <bottom style="double">
        <color rgb="FFFF0000"/>
      </bottom>
      <diagonal/>
    </border>
    <border>
      <left/>
      <right style="double">
        <color rgb="FFFF0000"/>
      </right>
      <top style="double">
        <color rgb="FFFF0000"/>
      </top>
      <bottom style="double">
        <color rgb="FFFF0000"/>
      </bottom>
      <diagonal/>
    </border>
    <border>
      <left style="double">
        <color indexed="64"/>
      </left>
      <right style="medium">
        <color indexed="64"/>
      </right>
      <top style="double">
        <color indexed="64"/>
      </top>
      <bottom/>
      <diagonal/>
    </border>
    <border>
      <left style="medium">
        <color indexed="64"/>
      </left>
      <right/>
      <top style="double">
        <color indexed="64"/>
      </top>
      <bottom/>
      <diagonal/>
    </border>
    <border>
      <left style="medium">
        <color indexed="64"/>
      </left>
      <right style="medium">
        <color indexed="64"/>
      </right>
      <top style="double">
        <color indexed="64"/>
      </top>
      <bottom style="medium">
        <color indexed="64"/>
      </bottom>
      <diagonal/>
    </border>
    <border>
      <left style="medium">
        <color indexed="64"/>
      </left>
      <right style="double">
        <color indexed="64"/>
      </right>
      <top style="double">
        <color indexed="64"/>
      </top>
      <bottom style="medium">
        <color indexed="64"/>
      </bottom>
      <diagonal/>
    </border>
    <border>
      <left style="double">
        <color indexed="64"/>
      </left>
      <right style="medium">
        <color indexed="64"/>
      </right>
      <top/>
      <bottom/>
      <diagonal/>
    </border>
    <border>
      <left style="medium">
        <color indexed="64"/>
      </left>
      <right style="double">
        <color indexed="64"/>
      </right>
      <top/>
      <bottom/>
      <diagonal/>
    </border>
    <border>
      <left style="double">
        <color indexed="64"/>
      </left>
      <right style="medium">
        <color indexed="64"/>
      </right>
      <top/>
      <bottom style="double">
        <color indexed="64"/>
      </bottom>
      <diagonal/>
    </border>
    <border>
      <left style="medium">
        <color indexed="64"/>
      </left>
      <right/>
      <top/>
      <bottom style="double">
        <color indexed="64"/>
      </bottom>
      <diagonal/>
    </border>
    <border>
      <left style="medium">
        <color indexed="64"/>
      </left>
      <right style="medium">
        <color indexed="64"/>
      </right>
      <top style="medium">
        <color indexed="64"/>
      </top>
      <bottom style="double">
        <color indexed="64"/>
      </bottom>
      <diagonal/>
    </border>
    <border>
      <left style="medium">
        <color indexed="64"/>
      </left>
      <right style="double">
        <color indexed="64"/>
      </right>
      <top style="medium">
        <color indexed="64"/>
      </top>
      <bottom style="double">
        <color indexed="64"/>
      </bottom>
      <diagonal/>
    </border>
    <border>
      <left style="medium">
        <color indexed="64"/>
      </left>
      <right style="double">
        <color indexed="64"/>
      </right>
      <top style="medium">
        <color indexed="64"/>
      </top>
      <bottom style="medium">
        <color indexed="64"/>
      </bottom>
      <diagonal/>
    </border>
    <border>
      <left style="double">
        <color indexed="64"/>
      </left>
      <right style="medium">
        <color indexed="64"/>
      </right>
      <top style="double">
        <color indexed="64"/>
      </top>
      <bottom style="double">
        <color indexed="64"/>
      </bottom>
      <diagonal/>
    </border>
    <border>
      <left style="medium">
        <color indexed="64"/>
      </left>
      <right style="medium">
        <color indexed="64"/>
      </right>
      <top style="double">
        <color indexed="64"/>
      </top>
      <bottom style="double">
        <color indexed="64"/>
      </bottom>
      <diagonal/>
    </border>
    <border>
      <left/>
      <right/>
      <top/>
      <bottom style="double">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bottom style="double">
        <color indexed="64"/>
      </bottom>
      <diagonal/>
    </border>
    <border>
      <left style="medium">
        <color indexed="64"/>
      </left>
      <right style="double">
        <color indexed="64"/>
      </right>
      <top/>
      <bottom style="double">
        <color indexed="64"/>
      </bottom>
      <diagonal/>
    </border>
    <border>
      <left style="double">
        <color auto="1"/>
      </left>
      <right/>
      <top/>
      <bottom style="double">
        <color auto="1"/>
      </bottom>
      <diagonal/>
    </border>
    <border>
      <left/>
      <right style="double">
        <color auto="1"/>
      </right>
      <top/>
      <bottom style="double">
        <color auto="1"/>
      </bottom>
      <diagonal/>
    </border>
    <border>
      <left/>
      <right/>
      <top style="hair">
        <color indexed="64"/>
      </top>
      <bottom style="double">
        <color indexed="64"/>
      </bottom>
      <diagonal/>
    </border>
    <border>
      <left style="double">
        <color indexed="64"/>
      </left>
      <right style="double">
        <color indexed="64"/>
      </right>
      <top style="double">
        <color indexed="64"/>
      </top>
      <bottom style="double">
        <color indexed="64"/>
      </bottom>
      <diagonal/>
    </border>
    <border>
      <left style="double">
        <color indexed="64"/>
      </left>
      <right/>
      <top style="hair">
        <color indexed="64"/>
      </top>
      <bottom style="double">
        <color indexed="64"/>
      </bottom>
      <diagonal/>
    </border>
    <border>
      <left/>
      <right style="double">
        <color indexed="64"/>
      </right>
      <top style="hair">
        <color indexed="64"/>
      </top>
      <bottom style="double">
        <color indexed="64"/>
      </bottom>
      <diagonal/>
    </border>
    <border>
      <left/>
      <right/>
      <top style="double">
        <color indexed="64"/>
      </top>
      <bottom style="medium">
        <color indexed="64"/>
      </bottom>
      <diagonal/>
    </border>
    <border>
      <left style="double">
        <color indexed="64"/>
      </left>
      <right/>
      <top style="double">
        <color indexed="64"/>
      </top>
      <bottom style="medium">
        <color indexed="64"/>
      </bottom>
      <diagonal/>
    </border>
    <border>
      <left/>
      <right style="double">
        <color indexed="64"/>
      </right>
      <top style="double">
        <color indexed="64"/>
      </top>
      <bottom style="medium">
        <color indexed="64"/>
      </bottom>
      <diagonal/>
    </border>
    <border>
      <left style="double">
        <color indexed="64"/>
      </left>
      <right/>
      <top style="medium">
        <color indexed="64"/>
      </top>
      <bottom/>
      <diagonal/>
    </border>
    <border>
      <left/>
      <right style="double">
        <color indexed="64"/>
      </right>
      <top style="medium">
        <color indexed="64"/>
      </top>
      <bottom/>
      <diagonal/>
    </border>
    <border>
      <left/>
      <right/>
      <top style="double">
        <color indexed="64"/>
      </top>
      <bottom style="thin">
        <color indexed="64"/>
      </bottom>
      <diagonal/>
    </border>
    <border>
      <left/>
      <right/>
      <top style="double">
        <color indexed="64"/>
      </top>
      <bottom/>
      <diagonal/>
    </border>
    <border>
      <left/>
      <right style="double">
        <color indexed="64"/>
      </right>
      <top style="double">
        <color indexed="64"/>
      </top>
      <bottom/>
      <diagonal/>
    </border>
    <border>
      <left style="hair">
        <color indexed="64"/>
      </left>
      <right style="hair">
        <color indexed="64"/>
      </right>
      <top/>
      <bottom/>
      <diagonal/>
    </border>
    <border>
      <left/>
      <right style="double">
        <color indexed="64"/>
      </right>
      <top/>
      <bottom/>
      <diagonal/>
    </border>
    <border>
      <left style="thin">
        <color indexed="64"/>
      </left>
      <right style="thin">
        <color indexed="64"/>
      </right>
      <top style="thin">
        <color indexed="64"/>
      </top>
      <bottom style="thin">
        <color indexed="64"/>
      </bottom>
      <diagonal/>
    </border>
    <border>
      <left style="double">
        <color indexed="64"/>
      </left>
      <right/>
      <top/>
      <bottom/>
      <diagonal/>
    </border>
    <border>
      <left/>
      <right style="thin">
        <color indexed="64"/>
      </right>
      <top/>
      <bottom/>
      <diagonal/>
    </border>
    <border>
      <left style="thin">
        <color indexed="64"/>
      </left>
      <right/>
      <top style="thin">
        <color indexed="64"/>
      </top>
      <bottom style="hair">
        <color auto="1"/>
      </bottom>
      <diagonal/>
    </border>
    <border>
      <left/>
      <right/>
      <top style="thin">
        <color indexed="64"/>
      </top>
      <bottom style="hair">
        <color auto="1"/>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double">
        <color indexed="64"/>
      </right>
      <top style="thin">
        <color indexed="64"/>
      </top>
      <bottom style="hair">
        <color auto="1"/>
      </bottom>
      <diagonal/>
    </border>
    <border>
      <left/>
      <right style="double">
        <color indexed="64"/>
      </right>
      <top style="hair">
        <color auto="1"/>
      </top>
      <bottom style="thin">
        <color indexed="64"/>
      </bottom>
      <diagonal/>
    </border>
    <border>
      <left/>
      <right style="double">
        <color indexed="64"/>
      </right>
      <top style="double">
        <color rgb="FFFF0000"/>
      </top>
      <bottom/>
      <diagonal/>
    </border>
  </borders>
  <cellStyleXfs count="2">
    <xf numFmtId="0" fontId="0" fillId="0" borderId="0"/>
    <xf numFmtId="164" fontId="1" fillId="0" borderId="0" applyFont="0" applyFill="0" applyBorder="0" applyAlignment="0" applyProtection="0"/>
  </cellStyleXfs>
  <cellXfs count="388">
    <xf numFmtId="0" fontId="0" fillId="0" borderId="0" xfId="0"/>
    <xf numFmtId="0" fontId="0" fillId="0" borderId="0" xfId="0" applyAlignment="1">
      <alignment horizontal="center"/>
    </xf>
    <xf numFmtId="0" fontId="0" fillId="0" borderId="0" xfId="0" applyFill="1" applyBorder="1"/>
    <xf numFmtId="49" fontId="10" fillId="0" borderId="0" xfId="0" applyNumberFormat="1" applyFont="1" applyFill="1" applyBorder="1" applyAlignment="1">
      <alignment vertical="top"/>
    </xf>
    <xf numFmtId="0" fontId="10" fillId="0" borderId="0" xfId="0" applyFont="1" applyFill="1" applyBorder="1" applyAlignment="1">
      <alignment vertical="top"/>
    </xf>
    <xf numFmtId="49" fontId="11" fillId="0" borderId="0" xfId="0" applyNumberFormat="1" applyFont="1" applyFill="1" applyBorder="1" applyAlignment="1">
      <alignment vertical="top"/>
    </xf>
    <xf numFmtId="49" fontId="12" fillId="0" borderId="0" xfId="0" applyNumberFormat="1" applyFont="1" applyFill="1" applyBorder="1" applyAlignment="1">
      <alignment vertical="top"/>
    </xf>
    <xf numFmtId="0" fontId="13" fillId="0" borderId="0" xfId="0" applyFont="1" applyFill="1" applyBorder="1" applyAlignment="1">
      <alignment vertical="center"/>
    </xf>
    <xf numFmtId="0" fontId="13" fillId="0" borderId="0" xfId="0" applyFont="1" applyBorder="1" applyAlignment="1">
      <alignment vertical="center"/>
    </xf>
    <xf numFmtId="0" fontId="14" fillId="0" borderId="0" xfId="0" applyFont="1" applyBorder="1" applyAlignment="1">
      <alignment vertical="center"/>
    </xf>
    <xf numFmtId="0" fontId="21" fillId="0" borderId="0" xfId="0" applyFont="1"/>
    <xf numFmtId="0" fontId="21" fillId="2" borderId="11" xfId="0" applyFont="1" applyFill="1" applyBorder="1"/>
    <xf numFmtId="0" fontId="26" fillId="0" borderId="0" xfId="0" applyFont="1"/>
    <xf numFmtId="0" fontId="27" fillId="3" borderId="5" xfId="0" applyFont="1" applyFill="1" applyBorder="1" applyAlignment="1"/>
    <xf numFmtId="0" fontId="27" fillId="3" borderId="3" xfId="0" applyFont="1" applyFill="1" applyBorder="1" applyAlignment="1"/>
    <xf numFmtId="0" fontId="27" fillId="3" borderId="6" xfId="0" applyFont="1" applyFill="1" applyBorder="1" applyAlignment="1"/>
    <xf numFmtId="49" fontId="29" fillId="0" borderId="4" xfId="0" applyNumberFormat="1" applyFont="1" applyFill="1" applyBorder="1" applyAlignment="1">
      <alignment horizontal="left" vertical="center"/>
    </xf>
    <xf numFmtId="0" fontId="26" fillId="0" borderId="0" xfId="0" applyFont="1" applyFill="1" applyBorder="1"/>
    <xf numFmtId="0" fontId="33" fillId="0" borderId="0" xfId="0" applyFont="1" applyFill="1" applyBorder="1" applyAlignment="1">
      <alignment vertical="top"/>
    </xf>
    <xf numFmtId="164" fontId="26" fillId="0" borderId="0" xfId="1" applyFont="1"/>
    <xf numFmtId="49" fontId="34" fillId="0" borderId="0" xfId="0" applyNumberFormat="1" applyFont="1" applyFill="1" applyBorder="1" applyAlignment="1">
      <alignment vertical="top"/>
    </xf>
    <xf numFmtId="0" fontId="35" fillId="0" borderId="0" xfId="0" applyFont="1" applyAlignment="1">
      <alignment wrapText="1"/>
    </xf>
    <xf numFmtId="0" fontId="6" fillId="0" borderId="0" xfId="0" applyFont="1" applyAlignment="1">
      <alignment vertical="top" wrapText="1"/>
    </xf>
    <xf numFmtId="0" fontId="6" fillId="0" borderId="0" xfId="0" applyFont="1" applyFill="1" applyBorder="1" applyAlignment="1">
      <alignment vertical="top" wrapText="1"/>
    </xf>
    <xf numFmtId="49" fontId="9" fillId="0" borderId="4" xfId="0" applyNumberFormat="1" applyFont="1" applyFill="1" applyBorder="1" applyAlignment="1">
      <alignment horizontal="left" vertical="center"/>
    </xf>
    <xf numFmtId="0" fontId="28" fillId="0" borderId="27" xfId="0" applyFont="1" applyFill="1" applyBorder="1" applyAlignment="1"/>
    <xf numFmtId="0" fontId="28" fillId="0" borderId="31" xfId="0" applyFont="1" applyFill="1" applyBorder="1" applyAlignment="1"/>
    <xf numFmtId="0" fontId="28" fillId="0" borderId="33" xfId="0" applyFont="1" applyFill="1" applyBorder="1" applyAlignment="1"/>
    <xf numFmtId="49" fontId="29" fillId="0" borderId="28" xfId="0" applyNumberFormat="1" applyFont="1" applyFill="1" applyBorder="1" applyAlignment="1">
      <alignment horizontal="left" vertical="center"/>
    </xf>
    <xf numFmtId="49" fontId="9" fillId="0" borderId="34" xfId="0" applyNumberFormat="1" applyFont="1" applyFill="1" applyBorder="1" applyAlignment="1">
      <alignment horizontal="left" vertical="center"/>
    </xf>
    <xf numFmtId="0" fontId="28" fillId="0" borderId="38" xfId="0" applyFont="1" applyFill="1" applyBorder="1" applyAlignment="1"/>
    <xf numFmtId="164" fontId="30" fillId="0" borderId="15" xfId="1" applyFont="1" applyFill="1" applyBorder="1" applyAlignment="1">
      <alignment horizontal="right" vertical="center"/>
    </xf>
    <xf numFmtId="49" fontId="9" fillId="0" borderId="10" xfId="0" applyNumberFormat="1" applyFont="1" applyFill="1" applyBorder="1" applyAlignment="1">
      <alignment horizontal="left" vertical="center"/>
    </xf>
    <xf numFmtId="0" fontId="22" fillId="2" borderId="11" xfId="0" applyFont="1" applyFill="1" applyBorder="1" applyAlignment="1">
      <alignment vertical="top" wrapText="1"/>
    </xf>
    <xf numFmtId="164" fontId="26" fillId="0" borderId="0" xfId="0" applyNumberFormat="1" applyFont="1"/>
    <xf numFmtId="0" fontId="9" fillId="0" borderId="4" xfId="0" applyFont="1" applyFill="1" applyBorder="1" applyAlignment="1">
      <alignment horizontal="left" vertical="center"/>
    </xf>
    <xf numFmtId="164" fontId="30" fillId="0" borderId="30" xfId="1" applyFont="1" applyFill="1" applyBorder="1" applyAlignment="1">
      <alignment horizontal="right" vertical="center"/>
    </xf>
    <xf numFmtId="164" fontId="30" fillId="0" borderId="32" xfId="1" applyFont="1" applyFill="1" applyBorder="1" applyAlignment="1">
      <alignment horizontal="right" vertical="center"/>
    </xf>
    <xf numFmtId="164" fontId="30" fillId="0" borderId="36" xfId="1" applyFont="1" applyFill="1" applyBorder="1" applyAlignment="1">
      <alignment horizontal="right" vertical="center"/>
    </xf>
    <xf numFmtId="164" fontId="30" fillId="0" borderId="37" xfId="1" applyFont="1" applyFill="1" applyBorder="1" applyAlignment="1">
      <alignment horizontal="right" vertical="center"/>
    </xf>
    <xf numFmtId="166" fontId="31" fillId="6" borderId="44" xfId="0" applyNumberFormat="1" applyFont="1" applyFill="1" applyBorder="1" applyAlignment="1">
      <alignment horizontal="right" vertical="center"/>
    </xf>
    <xf numFmtId="164" fontId="32" fillId="6" borderId="45" xfId="1" applyFont="1" applyFill="1" applyBorder="1" applyAlignment="1">
      <alignment horizontal="right" vertical="center"/>
    </xf>
    <xf numFmtId="164" fontId="3" fillId="0" borderId="29" xfId="1" applyFont="1" applyFill="1" applyBorder="1" applyAlignment="1">
      <alignment horizontal="right" vertical="center"/>
    </xf>
    <xf numFmtId="164" fontId="3" fillId="0" borderId="1" xfId="1" applyFont="1" applyFill="1" applyBorder="1" applyAlignment="1">
      <alignment horizontal="right" vertical="center"/>
    </xf>
    <xf numFmtId="164" fontId="3" fillId="0" borderId="35" xfId="1" applyFont="1" applyFill="1" applyBorder="1" applyAlignment="1">
      <alignment horizontal="right" vertical="center"/>
    </xf>
    <xf numFmtId="164" fontId="3" fillId="0" borderId="43" xfId="1" applyFont="1" applyFill="1" applyBorder="1" applyAlignment="1">
      <alignment horizontal="right" vertical="center"/>
    </xf>
    <xf numFmtId="164" fontId="3" fillId="0" borderId="41" xfId="1" applyFont="1" applyFill="1" applyBorder="1" applyAlignment="1">
      <alignment horizontal="right" vertical="center"/>
    </xf>
    <xf numFmtId="164" fontId="3" fillId="0" borderId="39" xfId="1" applyFont="1" applyFill="1" applyBorder="1" applyAlignment="1">
      <alignment horizontal="right" vertical="center"/>
    </xf>
    <xf numFmtId="164" fontId="3" fillId="0" borderId="42" xfId="1" applyFont="1" applyFill="1" applyBorder="1" applyAlignment="1">
      <alignment horizontal="right" vertical="center"/>
    </xf>
    <xf numFmtId="0" fontId="14" fillId="0" borderId="48" xfId="0" applyFont="1" applyBorder="1" applyAlignment="1">
      <alignment horizontal="left" vertical="top" wrapText="1"/>
    </xf>
    <xf numFmtId="0" fontId="0" fillId="2" borderId="13" xfId="0" applyFill="1" applyBorder="1"/>
    <xf numFmtId="0" fontId="6" fillId="2" borderId="11" xfId="0" applyFont="1" applyFill="1" applyBorder="1" applyAlignment="1">
      <alignment vertical="top" wrapText="1"/>
    </xf>
    <xf numFmtId="0" fontId="0" fillId="2" borderId="11" xfId="0" applyFill="1" applyBorder="1"/>
    <xf numFmtId="0" fontId="5" fillId="7" borderId="11" xfId="0" applyFont="1" applyFill="1" applyBorder="1"/>
    <xf numFmtId="0" fontId="5" fillId="4" borderId="11" xfId="0" applyFont="1" applyFill="1" applyBorder="1"/>
    <xf numFmtId="0" fontId="17" fillId="2" borderId="11" xfId="0" applyFont="1" applyFill="1" applyBorder="1" applyAlignment="1">
      <alignment vertical="top" wrapText="1"/>
    </xf>
    <xf numFmtId="0" fontId="16" fillId="2" borderId="11" xfId="0" applyFont="1" applyFill="1" applyBorder="1"/>
    <xf numFmtId="2" fontId="5" fillId="7" borderId="11" xfId="0" applyNumberFormat="1" applyFont="1" applyFill="1" applyBorder="1"/>
    <xf numFmtId="0" fontId="18" fillId="0" borderId="48" xfId="0" applyFont="1" applyBorder="1" applyAlignment="1">
      <alignment horizontal="left" vertical="top" wrapText="1"/>
    </xf>
    <xf numFmtId="0" fontId="23" fillId="0" borderId="48" xfId="0" applyFont="1" applyBorder="1" applyAlignment="1">
      <alignment horizontal="left" vertical="top" wrapText="1"/>
    </xf>
    <xf numFmtId="164" fontId="3" fillId="0" borderId="12" xfId="1" applyFont="1" applyFill="1" applyBorder="1" applyAlignment="1">
      <alignment horizontal="right" vertical="center"/>
    </xf>
    <xf numFmtId="164" fontId="37" fillId="0" borderId="21" xfId="1" applyFont="1" applyFill="1" applyBorder="1" applyAlignment="1">
      <alignment horizontal="right" vertical="center"/>
    </xf>
    <xf numFmtId="164" fontId="3" fillId="0" borderId="7" xfId="1" applyFont="1" applyFill="1" applyBorder="1" applyAlignment="1">
      <alignment horizontal="right" vertical="center"/>
    </xf>
    <xf numFmtId="164" fontId="37" fillId="0" borderId="16" xfId="1" applyFont="1" applyFill="1" applyBorder="1" applyAlignment="1">
      <alignment horizontal="right" vertical="center"/>
    </xf>
    <xf numFmtId="164" fontId="3" fillId="0" borderId="48" xfId="1" applyFont="1" applyFill="1" applyBorder="1" applyAlignment="1">
      <alignment horizontal="right" vertical="center"/>
    </xf>
    <xf numFmtId="164" fontId="37" fillId="0" borderId="51" xfId="1" applyFont="1" applyFill="1" applyBorder="1" applyAlignment="1">
      <alignment horizontal="right" vertical="center"/>
    </xf>
    <xf numFmtId="164" fontId="3" fillId="0" borderId="9" xfId="1" applyFont="1" applyFill="1" applyBorder="1" applyAlignment="1">
      <alignment horizontal="right" vertical="center"/>
    </xf>
    <xf numFmtId="164" fontId="37" fillId="0" borderId="19" xfId="1" applyFont="1" applyFill="1" applyBorder="1" applyAlignment="1">
      <alignment horizontal="right" vertical="center"/>
    </xf>
    <xf numFmtId="0" fontId="28" fillId="0" borderId="46" xfId="0" applyFont="1" applyFill="1" applyBorder="1" applyAlignment="1"/>
    <xf numFmtId="49" fontId="29" fillId="0" borderId="40" xfId="0" applyNumberFormat="1" applyFont="1" applyFill="1" applyBorder="1" applyAlignment="1">
      <alignment horizontal="left" vertical="center"/>
    </xf>
    <xf numFmtId="166" fontId="3" fillId="6" borderId="40" xfId="0" applyNumberFormat="1" applyFont="1" applyFill="1" applyBorder="1" applyAlignment="1">
      <alignment horizontal="right" vertical="center"/>
    </xf>
    <xf numFmtId="164" fontId="3" fillId="0" borderId="11" xfId="1" applyFont="1" applyFill="1" applyBorder="1" applyAlignment="1">
      <alignment horizontal="right" vertical="center"/>
    </xf>
    <xf numFmtId="164" fontId="37" fillId="0" borderId="14" xfId="1" applyFont="1" applyBorder="1" applyAlignment="1">
      <alignment horizontal="right" vertical="center"/>
    </xf>
    <xf numFmtId="164" fontId="3" fillId="0" borderId="11" xfId="1" applyFont="1" applyFill="1" applyBorder="1" applyAlignment="1">
      <alignment vertical="center"/>
    </xf>
    <xf numFmtId="164" fontId="30" fillId="6" borderId="47" xfId="1" applyFont="1" applyFill="1" applyBorder="1" applyAlignment="1">
      <alignment horizontal="right" vertical="center"/>
    </xf>
    <xf numFmtId="0" fontId="28" fillId="0" borderId="20" xfId="0" applyFont="1" applyFill="1" applyBorder="1" applyAlignment="1">
      <alignment horizontal="center" vertical="center"/>
    </xf>
    <xf numFmtId="0" fontId="28" fillId="0" borderId="17" xfId="0" applyFont="1" applyFill="1" applyBorder="1" applyAlignment="1">
      <alignment horizontal="center" vertical="center"/>
    </xf>
    <xf numFmtId="0" fontId="28" fillId="0" borderId="18" xfId="0" applyFont="1" applyFill="1" applyBorder="1" applyAlignment="1">
      <alignment horizontal="center" vertical="center"/>
    </xf>
    <xf numFmtId="0" fontId="28" fillId="0" borderId="50" xfId="0" applyFont="1" applyFill="1" applyBorder="1" applyAlignment="1">
      <alignment horizontal="center" vertical="center"/>
    </xf>
    <xf numFmtId="0" fontId="28" fillId="0" borderId="13" xfId="0" applyFont="1" applyFill="1" applyBorder="1" applyAlignment="1">
      <alignment horizontal="center" vertical="center"/>
    </xf>
    <xf numFmtId="0" fontId="27" fillId="3" borderId="55" xfId="0" applyFont="1" applyFill="1" applyBorder="1" applyAlignment="1"/>
    <xf numFmtId="0" fontId="9" fillId="3" borderId="3" xfId="0" applyFont="1" applyFill="1" applyBorder="1" applyAlignment="1">
      <alignment horizontal="right"/>
    </xf>
    <xf numFmtId="0" fontId="9" fillId="3" borderId="56" xfId="0" applyFont="1" applyFill="1" applyBorder="1" applyAlignment="1">
      <alignment horizontal="right"/>
    </xf>
    <xf numFmtId="0" fontId="38" fillId="5" borderId="58" xfId="0" applyFont="1" applyFill="1" applyBorder="1" applyAlignment="1">
      <alignment vertical="center"/>
    </xf>
    <xf numFmtId="0" fontId="38" fillId="5" borderId="2" xfId="0" applyFont="1" applyFill="1" applyBorder="1" applyAlignment="1">
      <alignment vertical="center"/>
    </xf>
    <xf numFmtId="0" fontId="38" fillId="5" borderId="0" xfId="0" applyFont="1" applyFill="1" applyBorder="1" applyAlignment="1">
      <alignment vertical="center"/>
    </xf>
    <xf numFmtId="0" fontId="38" fillId="5" borderId="40" xfId="0" applyFont="1" applyFill="1" applyBorder="1" applyAlignment="1">
      <alignment vertical="center"/>
    </xf>
    <xf numFmtId="0" fontId="38" fillId="5" borderId="57" xfId="0" applyFont="1" applyFill="1" applyBorder="1" applyAlignment="1">
      <alignment vertical="center"/>
    </xf>
    <xf numFmtId="164" fontId="3" fillId="0" borderId="40" xfId="1" applyFont="1" applyBorder="1" applyAlignment="1">
      <alignment vertical="center"/>
    </xf>
    <xf numFmtId="0" fontId="28" fillId="0" borderId="46" xfId="0" applyFont="1" applyFill="1" applyBorder="1" applyAlignment="1">
      <alignment horizontal="center" vertical="center"/>
    </xf>
    <xf numFmtId="164" fontId="3" fillId="0" borderId="40" xfId="1" applyFont="1" applyFill="1" applyBorder="1" applyAlignment="1">
      <alignment horizontal="right" vertical="center"/>
    </xf>
    <xf numFmtId="164" fontId="37" fillId="0" borderId="47" xfId="1" applyFont="1" applyFill="1" applyBorder="1" applyAlignment="1">
      <alignment horizontal="right" vertical="center"/>
    </xf>
    <xf numFmtId="164" fontId="0" fillId="0" borderId="0" xfId="1" applyFont="1" applyAlignment="1">
      <alignment horizontal="right"/>
    </xf>
    <xf numFmtId="0" fontId="0" fillId="0" borderId="0" xfId="0" applyAlignment="1">
      <alignment horizontal="right"/>
    </xf>
    <xf numFmtId="164" fontId="5" fillId="4" borderId="11" xfId="1" applyFont="1" applyFill="1" applyBorder="1" applyAlignment="1">
      <alignment horizontal="right"/>
    </xf>
    <xf numFmtId="165" fontId="5" fillId="4" borderId="11" xfId="0" applyNumberFormat="1" applyFont="1" applyFill="1" applyBorder="1" applyAlignment="1">
      <alignment horizontal="right"/>
    </xf>
    <xf numFmtId="164" fontId="5" fillId="4" borderId="14" xfId="1" applyFont="1" applyFill="1" applyBorder="1" applyAlignment="1">
      <alignment horizontal="right"/>
    </xf>
    <xf numFmtId="164" fontId="0" fillId="2" borderId="11" xfId="1" applyFont="1" applyFill="1" applyBorder="1" applyAlignment="1">
      <alignment horizontal="right"/>
    </xf>
    <xf numFmtId="165" fontId="0" fillId="2" borderId="14" xfId="0" applyNumberFormat="1" applyFill="1" applyBorder="1" applyAlignment="1">
      <alignment horizontal="right"/>
    </xf>
    <xf numFmtId="164" fontId="2" fillId="2" borderId="49" xfId="1" applyFont="1" applyFill="1" applyBorder="1" applyAlignment="1">
      <alignment horizontal="right"/>
    </xf>
    <xf numFmtId="165" fontId="0" fillId="0" borderId="0" xfId="0" applyNumberFormat="1" applyAlignment="1">
      <alignment horizontal="right"/>
    </xf>
    <xf numFmtId="164" fontId="16" fillId="2" borderId="11" xfId="1" applyFont="1" applyFill="1" applyBorder="1" applyAlignment="1">
      <alignment horizontal="right"/>
    </xf>
    <xf numFmtId="165" fontId="16" fillId="2" borderId="14" xfId="0" applyNumberFormat="1" applyFont="1" applyFill="1" applyBorder="1" applyAlignment="1">
      <alignment horizontal="right"/>
    </xf>
    <xf numFmtId="164" fontId="19" fillId="2" borderId="49" xfId="1" applyFont="1" applyFill="1" applyBorder="1" applyAlignment="1">
      <alignment horizontal="right"/>
    </xf>
    <xf numFmtId="164" fontId="21" fillId="2" borderId="11" xfId="1" applyFont="1" applyFill="1" applyBorder="1" applyAlignment="1">
      <alignment horizontal="right"/>
    </xf>
    <xf numFmtId="165" fontId="21" fillId="2" borderId="14" xfId="0" applyNumberFormat="1" applyFont="1" applyFill="1" applyBorder="1" applyAlignment="1">
      <alignment horizontal="right"/>
    </xf>
    <xf numFmtId="164" fontId="24" fillId="2" borderId="49" xfId="1" applyFont="1" applyFill="1" applyBorder="1" applyAlignment="1">
      <alignment horizontal="right"/>
    </xf>
    <xf numFmtId="0" fontId="0" fillId="0" borderId="0" xfId="0" applyAlignment="1">
      <alignment vertical="top"/>
    </xf>
    <xf numFmtId="0" fontId="39" fillId="0" borderId="0" xfId="0" applyFont="1" applyFill="1" applyBorder="1" applyAlignment="1">
      <alignment vertical="top"/>
    </xf>
    <xf numFmtId="0" fontId="40" fillId="0" borderId="0" xfId="0" applyFont="1" applyFill="1" applyBorder="1" applyAlignment="1">
      <alignment vertical="top" wrapText="1"/>
    </xf>
    <xf numFmtId="164" fontId="39" fillId="0" borderId="0" xfId="1" applyFont="1" applyFill="1" applyBorder="1" applyAlignment="1">
      <alignment horizontal="right" vertical="top"/>
    </xf>
    <xf numFmtId="0" fontId="39" fillId="0" borderId="0" xfId="0" applyFont="1" applyFill="1" applyBorder="1" applyAlignment="1">
      <alignment horizontal="right" vertical="top"/>
    </xf>
    <xf numFmtId="0" fontId="39" fillId="0" borderId="8" xfId="0" applyFont="1" applyFill="1" applyBorder="1" applyAlignment="1">
      <alignment horizontal="center" vertical="top"/>
    </xf>
    <xf numFmtId="0" fontId="39" fillId="0" borderId="8" xfId="0" applyFont="1" applyFill="1" applyBorder="1" applyAlignment="1">
      <alignment vertical="top"/>
    </xf>
    <xf numFmtId="165" fontId="43" fillId="0" borderId="8" xfId="0" applyNumberFormat="1" applyFont="1" applyFill="1" applyBorder="1" applyAlignment="1">
      <alignment horizontal="right" vertical="top"/>
    </xf>
    <xf numFmtId="164" fontId="3" fillId="0" borderId="19" xfId="1" applyFont="1" applyBorder="1" applyAlignment="1">
      <alignment horizontal="right" vertical="top"/>
    </xf>
    <xf numFmtId="0" fontId="0" fillId="0" borderId="7" xfId="0" applyBorder="1" applyAlignment="1">
      <alignment horizontal="center" vertical="top"/>
    </xf>
    <xf numFmtId="0" fontId="0" fillId="0" borderId="7" xfId="0" applyBorder="1" applyAlignment="1">
      <alignment vertical="top"/>
    </xf>
    <xf numFmtId="164" fontId="43" fillId="0" borderId="7" xfId="1" applyFont="1" applyFill="1" applyBorder="1" applyAlignment="1">
      <alignment horizontal="right" vertical="top"/>
    </xf>
    <xf numFmtId="0" fontId="39" fillId="0" borderId="7" xfId="0" applyFont="1" applyFill="1" applyBorder="1" applyAlignment="1">
      <alignment horizontal="center" vertical="top"/>
    </xf>
    <xf numFmtId="0" fontId="39" fillId="0" borderId="7" xfId="0" applyFont="1" applyFill="1" applyBorder="1" applyAlignment="1">
      <alignment vertical="top"/>
    </xf>
    <xf numFmtId="0" fontId="13" fillId="0" borderId="0" xfId="0" applyFont="1" applyFill="1" applyBorder="1" applyAlignment="1">
      <alignment vertical="top"/>
    </xf>
    <xf numFmtId="164" fontId="3" fillId="0" borderId="23" xfId="1" applyFont="1" applyBorder="1" applyAlignment="1">
      <alignment horizontal="right" vertical="top"/>
    </xf>
    <xf numFmtId="164" fontId="3" fillId="0" borderId="16" xfId="1" applyFont="1" applyBorder="1" applyAlignment="1">
      <alignment horizontal="right" vertical="top"/>
    </xf>
    <xf numFmtId="165" fontId="43" fillId="0" borderId="0" xfId="0" applyNumberFormat="1" applyFont="1" applyFill="1" applyBorder="1" applyAlignment="1">
      <alignment horizontal="right" vertical="top"/>
    </xf>
    <xf numFmtId="0" fontId="40" fillId="8" borderId="11" xfId="0" applyFont="1" applyFill="1" applyBorder="1" applyAlignment="1">
      <alignment vertical="top" wrapText="1"/>
    </xf>
    <xf numFmtId="0" fontId="39" fillId="8" borderId="11" xfId="0" applyFont="1" applyFill="1" applyBorder="1" applyAlignment="1">
      <alignment vertical="top"/>
    </xf>
    <xf numFmtId="164" fontId="39" fillId="8" borderId="11" xfId="1" applyFont="1" applyFill="1" applyBorder="1" applyAlignment="1">
      <alignment horizontal="right" vertical="top"/>
    </xf>
    <xf numFmtId="165" fontId="39" fillId="0" borderId="0" xfId="0" applyNumberFormat="1" applyFont="1" applyFill="1" applyBorder="1" applyAlignment="1">
      <alignment horizontal="right" vertical="top"/>
    </xf>
    <xf numFmtId="49" fontId="45" fillId="0" borderId="0" xfId="0" applyNumberFormat="1" applyFont="1" applyFill="1" applyBorder="1" applyAlignment="1">
      <alignment vertical="top"/>
    </xf>
    <xf numFmtId="164" fontId="0" fillId="0" borderId="8" xfId="1" applyFont="1" applyFill="1" applyBorder="1" applyAlignment="1">
      <alignment horizontal="right" vertical="top"/>
    </xf>
    <xf numFmtId="0" fontId="39" fillId="0" borderId="9" xfId="0" applyFont="1" applyFill="1" applyBorder="1" applyAlignment="1">
      <alignment horizontal="center" vertical="top"/>
    </xf>
    <xf numFmtId="0" fontId="39" fillId="0" borderId="9" xfId="0" applyFont="1" applyFill="1" applyBorder="1" applyAlignment="1">
      <alignment vertical="top"/>
    </xf>
    <xf numFmtId="164" fontId="43" fillId="0" borderId="9" xfId="1" applyFont="1" applyFill="1" applyBorder="1" applyAlignment="1">
      <alignment horizontal="right" vertical="top"/>
    </xf>
    <xf numFmtId="0" fontId="7" fillId="0" borderId="9" xfId="0" applyFont="1" applyFill="1" applyBorder="1" applyAlignment="1">
      <alignment vertical="top" wrapText="1"/>
    </xf>
    <xf numFmtId="0" fontId="7" fillId="0" borderId="7" xfId="0" applyFont="1" applyFill="1" applyBorder="1" applyAlignment="1">
      <alignment vertical="top" wrapText="1"/>
    </xf>
    <xf numFmtId="0" fontId="7" fillId="0" borderId="8" xfId="0" applyFont="1" applyFill="1" applyBorder="1" applyAlignment="1">
      <alignment vertical="top" wrapText="1"/>
    </xf>
    <xf numFmtId="0" fontId="41" fillId="0" borderId="8" xfId="0" applyFont="1" applyFill="1" applyBorder="1" applyAlignment="1">
      <alignment vertical="top" wrapText="1"/>
    </xf>
    <xf numFmtId="0" fontId="41" fillId="0" borderId="7" xfId="0" applyFont="1" applyFill="1" applyBorder="1" applyAlignment="1">
      <alignment vertical="top" wrapText="1"/>
    </xf>
    <xf numFmtId="0" fontId="8" fillId="0" borderId="7" xfId="0" applyFont="1" applyFill="1" applyBorder="1" applyAlignment="1">
      <alignment vertical="top" wrapText="1"/>
    </xf>
    <xf numFmtId="0" fontId="8" fillId="0" borderId="7" xfId="0" applyFont="1" applyFill="1" applyBorder="1" applyAlignment="1">
      <alignment horizontal="left" vertical="top" wrapText="1"/>
    </xf>
    <xf numFmtId="0" fontId="6" fillId="0" borderId="7" xfId="0" applyFont="1" applyFill="1" applyBorder="1" applyAlignment="1">
      <alignment vertical="top" wrapText="1"/>
    </xf>
    <xf numFmtId="0" fontId="7" fillId="0" borderId="48" xfId="0" applyFont="1" applyFill="1" applyBorder="1" applyAlignment="1">
      <alignment vertical="top" wrapText="1"/>
    </xf>
    <xf numFmtId="0" fontId="4" fillId="0" borderId="7" xfId="0" applyFont="1" applyFill="1" applyBorder="1" applyAlignment="1">
      <alignment vertical="top" wrapText="1"/>
    </xf>
    <xf numFmtId="0" fontId="44" fillId="0" borderId="7" xfId="0" applyFont="1" applyFill="1" applyBorder="1" applyAlignment="1">
      <alignment vertical="top" wrapText="1"/>
    </xf>
    <xf numFmtId="0" fontId="41" fillId="0" borderId="9" xfId="0" applyFont="1" applyFill="1" applyBorder="1" applyAlignment="1">
      <alignment vertical="top" wrapText="1"/>
    </xf>
    <xf numFmtId="0" fontId="13" fillId="0" borderId="0" xfId="0" applyFont="1" applyBorder="1" applyAlignment="1">
      <alignment vertical="center" wrapText="1"/>
    </xf>
    <xf numFmtId="0" fontId="36" fillId="0" borderId="17" xfId="0" applyFont="1" applyBorder="1" applyAlignment="1">
      <alignment horizontal="left" vertical="top"/>
    </xf>
    <xf numFmtId="164" fontId="3" fillId="0" borderId="8" xfId="1" applyFont="1" applyFill="1" applyBorder="1" applyAlignment="1">
      <alignment horizontal="right" vertical="top"/>
    </xf>
    <xf numFmtId="165" fontId="3" fillId="0" borderId="8" xfId="0" applyNumberFormat="1" applyFont="1" applyBorder="1" applyAlignment="1">
      <alignment horizontal="right" vertical="top"/>
    </xf>
    <xf numFmtId="164" fontId="3" fillId="0" borderId="7" xfId="1" applyFont="1" applyFill="1" applyBorder="1" applyAlignment="1">
      <alignment horizontal="right" vertical="top"/>
    </xf>
    <xf numFmtId="165" fontId="3" fillId="0" borderId="7" xfId="0" applyNumberFormat="1" applyFont="1" applyBorder="1" applyAlignment="1">
      <alignment horizontal="right" vertical="top"/>
    </xf>
    <xf numFmtId="0" fontId="7" fillId="0" borderId="12" xfId="0" applyFont="1" applyFill="1" applyBorder="1" applyAlignment="1">
      <alignment horizontal="left" vertical="top" wrapText="1"/>
    </xf>
    <xf numFmtId="0" fontId="14" fillId="0" borderId="7" xfId="0" applyFont="1" applyBorder="1" applyAlignment="1">
      <alignment horizontal="center" vertical="top"/>
    </xf>
    <xf numFmtId="164" fontId="14" fillId="0" borderId="7" xfId="1" applyFont="1" applyBorder="1" applyAlignment="1">
      <alignment horizontal="right" vertical="top"/>
    </xf>
    <xf numFmtId="165" fontId="14" fillId="0" borderId="7" xfId="1" applyNumberFormat="1" applyFont="1" applyBorder="1" applyAlignment="1">
      <alignment horizontal="right" vertical="top"/>
    </xf>
    <xf numFmtId="164" fontId="14" fillId="0" borderId="16" xfId="1" applyFont="1" applyBorder="1" applyAlignment="1">
      <alignment horizontal="right" vertical="top"/>
    </xf>
    <xf numFmtId="0" fontId="14" fillId="0" borderId="48" xfId="0" applyFont="1" applyBorder="1" applyAlignment="1">
      <alignment horizontal="center" vertical="top"/>
    </xf>
    <xf numFmtId="164" fontId="14" fillId="0" borderId="48" xfId="1" applyFont="1" applyBorder="1" applyAlignment="1">
      <alignment horizontal="right" vertical="top"/>
    </xf>
    <xf numFmtId="165" fontId="14" fillId="0" borderId="48" xfId="1" applyNumberFormat="1" applyFont="1" applyBorder="1" applyAlignment="1">
      <alignment horizontal="right" vertical="top"/>
    </xf>
    <xf numFmtId="164" fontId="14" fillId="0" borderId="51" xfId="1" applyFont="1" applyBorder="1" applyAlignment="1">
      <alignment horizontal="right" vertical="top"/>
    </xf>
    <xf numFmtId="0" fontId="6" fillId="0" borderId="0" xfId="0" applyFont="1" applyAlignment="1">
      <alignment horizontal="center"/>
    </xf>
    <xf numFmtId="0" fontId="47" fillId="7" borderId="11" xfId="0" applyFont="1" applyFill="1" applyBorder="1"/>
    <xf numFmtId="0" fontId="8" fillId="0" borderId="8" xfId="0" applyFont="1" applyBorder="1" applyAlignment="1">
      <alignment horizontal="center" vertical="top"/>
    </xf>
    <xf numFmtId="0" fontId="8" fillId="0" borderId="7" xfId="0" applyFont="1" applyBorder="1" applyAlignment="1">
      <alignment horizontal="center" vertical="top"/>
    </xf>
    <xf numFmtId="0" fontId="6" fillId="2" borderId="11" xfId="0" applyFont="1" applyFill="1" applyBorder="1"/>
    <xf numFmtId="0" fontId="6" fillId="0" borderId="0" xfId="0" applyFont="1"/>
    <xf numFmtId="0" fontId="8" fillId="0" borderId="9" xfId="0" applyFont="1" applyBorder="1" applyAlignment="1">
      <alignment horizontal="center" vertical="top"/>
    </xf>
    <xf numFmtId="164" fontId="3" fillId="0" borderId="9" xfId="1" applyFont="1" applyFill="1" applyBorder="1" applyAlignment="1">
      <alignment horizontal="right" vertical="top"/>
    </xf>
    <xf numFmtId="165" fontId="3" fillId="0" borderId="9" xfId="0" applyNumberFormat="1" applyFont="1" applyBorder="1" applyAlignment="1">
      <alignment horizontal="right" vertical="top"/>
    </xf>
    <xf numFmtId="0" fontId="7" fillId="0" borderId="12" xfId="0" applyFont="1" applyFill="1" applyBorder="1" applyAlignment="1">
      <alignment vertical="top" wrapText="1"/>
    </xf>
    <xf numFmtId="0" fontId="26" fillId="9" borderId="0" xfId="0" applyFont="1" applyFill="1"/>
    <xf numFmtId="0" fontId="26" fillId="10" borderId="0" xfId="0" applyFont="1" applyFill="1"/>
    <xf numFmtId="0" fontId="46" fillId="11" borderId="0" xfId="0" applyFont="1" applyFill="1"/>
    <xf numFmtId="0" fontId="26" fillId="12" borderId="0" xfId="0" applyFont="1" applyFill="1"/>
    <xf numFmtId="0" fontId="26" fillId="13" borderId="0" xfId="0" applyFont="1" applyFill="1"/>
    <xf numFmtId="0" fontId="26" fillId="14" borderId="0" xfId="0" applyFont="1" applyFill="1"/>
    <xf numFmtId="0" fontId="26" fillId="15" borderId="0" xfId="0" applyFont="1" applyFill="1"/>
    <xf numFmtId="0" fontId="26" fillId="7" borderId="0" xfId="0" applyFont="1" applyFill="1"/>
    <xf numFmtId="165" fontId="3" fillId="0" borderId="11" xfId="0" applyNumberFormat="1" applyFont="1" applyBorder="1" applyAlignment="1">
      <alignment horizontal="right" vertical="top"/>
    </xf>
    <xf numFmtId="164" fontId="3" fillId="0" borderId="14" xfId="1" applyFont="1" applyBorder="1" applyAlignment="1">
      <alignment horizontal="right" vertical="top"/>
    </xf>
    <xf numFmtId="0" fontId="36" fillId="0" borderId="0" xfId="0" applyFont="1" applyAlignment="1">
      <alignment vertical="top"/>
    </xf>
    <xf numFmtId="0" fontId="48" fillId="0" borderId="22" xfId="0" applyFont="1" applyFill="1" applyBorder="1" applyAlignment="1">
      <alignment horizontal="left" vertical="top"/>
    </xf>
    <xf numFmtId="0" fontId="48" fillId="8" borderId="13" xfId="0" applyFont="1" applyFill="1" applyBorder="1" applyAlignment="1">
      <alignment vertical="top"/>
    </xf>
    <xf numFmtId="0" fontId="48" fillId="0" borderId="0" xfId="0" applyFont="1" applyFill="1" applyBorder="1" applyAlignment="1">
      <alignment vertical="top"/>
    </xf>
    <xf numFmtId="0" fontId="36" fillId="0" borderId="22" xfId="0" applyFont="1" applyBorder="1" applyAlignment="1">
      <alignment vertical="top"/>
    </xf>
    <xf numFmtId="0" fontId="36" fillId="2" borderId="13" xfId="0" applyFont="1" applyFill="1" applyBorder="1" applyAlignment="1">
      <alignment vertical="top"/>
    </xf>
    <xf numFmtId="0" fontId="36" fillId="0" borderId="0" xfId="0" applyFont="1" applyFill="1" applyBorder="1" applyAlignment="1">
      <alignment vertical="top"/>
    </xf>
    <xf numFmtId="0" fontId="36" fillId="0" borderId="20" xfId="0" applyFont="1" applyBorder="1" applyAlignment="1">
      <alignment vertical="top"/>
    </xf>
    <xf numFmtId="0" fontId="36" fillId="0" borderId="17" xfId="0" applyFont="1" applyBorder="1" applyAlignment="1">
      <alignment vertical="top"/>
    </xf>
    <xf numFmtId="0" fontId="8" fillId="0" borderId="12" xfId="0" applyFont="1" applyBorder="1" applyAlignment="1">
      <alignment horizontal="center" vertical="top"/>
    </xf>
    <xf numFmtId="164" fontId="8" fillId="0" borderId="12" xfId="1" applyFont="1" applyFill="1" applyBorder="1" applyAlignment="1">
      <alignment horizontal="right" vertical="top"/>
    </xf>
    <xf numFmtId="165" fontId="3" fillId="0" borderId="12" xfId="0" applyNumberFormat="1" applyFont="1" applyBorder="1" applyAlignment="1">
      <alignment horizontal="right" vertical="top"/>
    </xf>
    <xf numFmtId="164" fontId="3" fillId="0" borderId="21" xfId="1" applyFont="1" applyBorder="1" applyAlignment="1">
      <alignment horizontal="right" vertical="top"/>
    </xf>
    <xf numFmtId="164" fontId="8" fillId="0" borderId="7" xfId="1" applyFont="1" applyFill="1" applyBorder="1" applyAlignment="1">
      <alignment horizontal="right" vertical="top"/>
    </xf>
    <xf numFmtId="0" fontId="8" fillId="0" borderId="48" xfId="0" applyFont="1" applyBorder="1" applyAlignment="1">
      <alignment horizontal="center" vertical="top"/>
    </xf>
    <xf numFmtId="164" fontId="3" fillId="0" borderId="48" xfId="1" applyFont="1" applyFill="1" applyBorder="1" applyAlignment="1">
      <alignment horizontal="right" vertical="top"/>
    </xf>
    <xf numFmtId="165" fontId="3" fillId="0" borderId="48" xfId="0" applyNumberFormat="1" applyFont="1" applyBorder="1" applyAlignment="1">
      <alignment horizontal="right" vertical="top"/>
    </xf>
    <xf numFmtId="164" fontId="3" fillId="0" borderId="51" xfId="1" applyFont="1" applyBorder="1" applyAlignment="1">
      <alignment horizontal="right" vertical="top"/>
    </xf>
    <xf numFmtId="167" fontId="15" fillId="0" borderId="21" xfId="1" applyNumberFormat="1" applyFont="1" applyBorder="1" applyAlignment="1">
      <alignment horizontal="right" vertical="top"/>
    </xf>
    <xf numFmtId="0" fontId="0" fillId="0" borderId="12" xfId="0" applyBorder="1" applyAlignment="1">
      <alignment horizontal="center" vertical="top"/>
    </xf>
    <xf numFmtId="0" fontId="0" fillId="0" borderId="12" xfId="0" applyBorder="1" applyAlignment="1">
      <alignment vertical="top"/>
    </xf>
    <xf numFmtId="164" fontId="3" fillId="0" borderId="12" xfId="1" applyFont="1" applyFill="1" applyBorder="1" applyAlignment="1">
      <alignment horizontal="right" vertical="top"/>
    </xf>
    <xf numFmtId="165" fontId="3" fillId="0" borderId="7" xfId="0" applyNumberFormat="1" applyFont="1" applyFill="1" applyBorder="1" applyAlignment="1">
      <alignment horizontal="right" vertical="top"/>
    </xf>
    <xf numFmtId="0" fontId="18" fillId="0" borderId="48" xfId="0" applyFont="1" applyBorder="1" applyAlignment="1">
      <alignment horizontal="center" vertical="top"/>
    </xf>
    <xf numFmtId="164" fontId="18" fillId="0" borderId="48" xfId="1" applyFont="1" applyBorder="1" applyAlignment="1">
      <alignment horizontal="right" vertical="top"/>
    </xf>
    <xf numFmtId="165" fontId="18" fillId="0" borderId="48" xfId="1" applyNumberFormat="1" applyFont="1" applyBorder="1" applyAlignment="1">
      <alignment horizontal="right" vertical="top"/>
    </xf>
    <xf numFmtId="164" fontId="18" fillId="0" borderId="51" xfId="1" applyFont="1" applyBorder="1" applyAlignment="1">
      <alignment horizontal="right" vertical="top"/>
    </xf>
    <xf numFmtId="164" fontId="3" fillId="0" borderId="7" xfId="1" applyNumberFormat="1" applyFont="1" applyFill="1" applyBorder="1" applyAlignment="1">
      <alignment horizontal="right" vertical="top"/>
    </xf>
    <xf numFmtId="0" fontId="23" fillId="0" borderId="48" xfId="0" applyFont="1" applyBorder="1" applyAlignment="1">
      <alignment horizontal="center" vertical="top"/>
    </xf>
    <xf numFmtId="164" fontId="23" fillId="0" borderId="48" xfId="1" applyFont="1" applyBorder="1" applyAlignment="1">
      <alignment horizontal="right" vertical="top"/>
    </xf>
    <xf numFmtId="165" fontId="23" fillId="0" borderId="48" xfId="1" applyNumberFormat="1" applyFont="1" applyBorder="1" applyAlignment="1">
      <alignment horizontal="right" vertical="top"/>
    </xf>
    <xf numFmtId="164" fontId="23" fillId="0" borderId="51" xfId="1" applyFont="1" applyBorder="1" applyAlignment="1">
      <alignment horizontal="right" vertical="top"/>
    </xf>
    <xf numFmtId="164" fontId="46" fillId="0" borderId="7" xfId="1" applyFont="1" applyFill="1" applyBorder="1" applyAlignment="1">
      <alignment horizontal="right" vertical="top"/>
    </xf>
    <xf numFmtId="49" fontId="8" fillId="0" borderId="60" xfId="0" applyNumberFormat="1" applyFont="1" applyFill="1" applyBorder="1" applyAlignment="1">
      <alignment vertical="center" wrapText="1"/>
    </xf>
    <xf numFmtId="164" fontId="3" fillId="0" borderId="58" xfId="1" applyFont="1" applyFill="1" applyBorder="1" applyAlignment="1">
      <alignment horizontal="right" vertical="top"/>
    </xf>
    <xf numFmtId="165" fontId="3" fillId="0" borderId="58" xfId="0" applyNumberFormat="1" applyFont="1" applyBorder="1" applyAlignment="1">
      <alignment horizontal="right" vertical="top"/>
    </xf>
    <xf numFmtId="164" fontId="3" fillId="0" borderId="59" xfId="1" applyFont="1" applyBorder="1" applyAlignment="1">
      <alignment horizontal="right" vertical="top"/>
    </xf>
    <xf numFmtId="0" fontId="14" fillId="0" borderId="7" xfId="0" applyFont="1" applyBorder="1" applyAlignment="1">
      <alignment horizontal="center" vertical="center"/>
    </xf>
    <xf numFmtId="164" fontId="14" fillId="0" borderId="7" xfId="1" applyFont="1" applyBorder="1" applyAlignment="1">
      <alignment horizontal="right" vertical="center"/>
    </xf>
    <xf numFmtId="165" fontId="14" fillId="0" borderId="7" xfId="1" applyNumberFormat="1" applyFont="1" applyBorder="1" applyAlignment="1">
      <alignment horizontal="right" vertical="center"/>
    </xf>
    <xf numFmtId="164" fontId="14" fillId="0" borderId="16" xfId="1" applyFont="1" applyBorder="1" applyAlignment="1">
      <alignment horizontal="right" vertical="center"/>
    </xf>
    <xf numFmtId="0" fontId="14" fillId="0" borderId="0" xfId="0" applyFont="1" applyFill="1" applyBorder="1" applyAlignment="1">
      <alignment vertical="center"/>
    </xf>
    <xf numFmtId="0" fontId="14" fillId="0" borderId="17" xfId="0" applyFont="1" applyBorder="1" applyAlignment="1">
      <alignment horizontal="center" vertical="center"/>
    </xf>
    <xf numFmtId="0" fontId="7" fillId="0" borderId="0" xfId="0" applyFont="1" applyFill="1" applyBorder="1" applyAlignment="1">
      <alignment horizontal="left" vertical="top"/>
    </xf>
    <xf numFmtId="0" fontId="14" fillId="0" borderId="7" xfId="0" applyFont="1" applyBorder="1" applyAlignment="1">
      <alignment horizontal="left" vertical="top" wrapText="1"/>
    </xf>
    <xf numFmtId="0" fontId="7" fillId="5" borderId="7" xfId="0" applyFont="1" applyFill="1" applyBorder="1" applyAlignment="1">
      <alignment horizontal="left" vertical="top" wrapText="1"/>
    </xf>
    <xf numFmtId="0" fontId="7" fillId="0" borderId="58" xfId="0" applyFont="1" applyFill="1" applyBorder="1" applyAlignment="1">
      <alignment horizontal="left" vertical="top"/>
    </xf>
    <xf numFmtId="0" fontId="7" fillId="0" borderId="58" xfId="0" applyFont="1" applyFill="1" applyBorder="1" applyAlignment="1">
      <alignment horizontal="left" vertical="top" wrapText="1"/>
    </xf>
    <xf numFmtId="0" fontId="14" fillId="0" borderId="7" xfId="0" applyFont="1" applyFill="1" applyBorder="1" applyAlignment="1">
      <alignment horizontal="center" vertical="top"/>
    </xf>
    <xf numFmtId="164" fontId="14" fillId="0" borderId="7" xfId="1" applyFont="1" applyFill="1" applyBorder="1" applyAlignment="1">
      <alignment horizontal="right" vertical="top"/>
    </xf>
    <xf numFmtId="165" fontId="14" fillId="0" borderId="7" xfId="1" applyNumberFormat="1" applyFont="1" applyFill="1" applyBorder="1" applyAlignment="1">
      <alignment horizontal="right" vertical="top"/>
    </xf>
    <xf numFmtId="0" fontId="8" fillId="5" borderId="7" xfId="0" applyFont="1" applyFill="1" applyBorder="1" applyAlignment="1">
      <alignment vertical="top" wrapText="1"/>
    </xf>
    <xf numFmtId="2" fontId="36" fillId="0" borderId="22" xfId="0" applyNumberFormat="1" applyFont="1" applyFill="1" applyBorder="1" applyAlignment="1">
      <alignment horizontal="left" vertical="top"/>
    </xf>
    <xf numFmtId="2" fontId="36" fillId="0" borderId="17" xfId="0" applyNumberFormat="1" applyFont="1" applyFill="1" applyBorder="1" applyAlignment="1">
      <alignment horizontal="left" vertical="top"/>
    </xf>
    <xf numFmtId="0" fontId="14" fillId="0" borderId="12" xfId="0" applyFont="1" applyFill="1" applyBorder="1" applyAlignment="1">
      <alignment horizontal="center" vertical="top"/>
    </xf>
    <xf numFmtId="164" fontId="14" fillId="0" borderId="12" xfId="1" applyFont="1" applyFill="1" applyBorder="1" applyAlignment="1">
      <alignment horizontal="right" vertical="top"/>
    </xf>
    <xf numFmtId="167" fontId="14" fillId="0" borderId="12" xfId="1" applyNumberFormat="1" applyFont="1" applyFill="1" applyBorder="1" applyAlignment="1">
      <alignment horizontal="right" vertical="top"/>
    </xf>
    <xf numFmtId="0" fontId="8" fillId="5" borderId="7" xfId="0" applyFont="1" applyFill="1" applyBorder="1" applyAlignment="1">
      <alignment horizontal="left" vertical="top" wrapText="1"/>
    </xf>
    <xf numFmtId="0" fontId="4" fillId="0" borderId="7" xfId="0" applyFont="1" applyFill="1" applyBorder="1" applyAlignment="1">
      <alignment horizontal="left" vertical="top" wrapText="1"/>
    </xf>
    <xf numFmtId="0" fontId="4" fillId="0" borderId="8" xfId="0" applyFont="1" applyFill="1" applyBorder="1" applyAlignment="1">
      <alignment horizontal="left" vertical="top" wrapText="1"/>
    </xf>
    <xf numFmtId="164" fontId="8" fillId="0" borderId="8" xfId="1" applyFont="1" applyBorder="1" applyAlignment="1">
      <alignment horizontal="right" vertical="top"/>
    </xf>
    <xf numFmtId="0" fontId="7" fillId="0" borderId="11" xfId="0" applyFont="1" applyFill="1" applyBorder="1" applyAlignment="1">
      <alignment horizontal="left" vertical="top" wrapText="1"/>
    </xf>
    <xf numFmtId="0" fontId="8" fillId="0" borderId="11" xfId="0" applyFont="1" applyBorder="1" applyAlignment="1">
      <alignment horizontal="center" vertical="top"/>
    </xf>
    <xf numFmtId="164" fontId="8" fillId="0" borderId="11" xfId="1" applyFont="1" applyBorder="1" applyAlignment="1">
      <alignment horizontal="right" vertical="top"/>
    </xf>
    <xf numFmtId="0" fontId="7" fillId="0" borderId="8" xfId="0" applyFont="1" applyFill="1" applyBorder="1" applyAlignment="1">
      <alignment horizontal="left" vertical="top" wrapText="1"/>
    </xf>
    <xf numFmtId="0" fontId="4" fillId="0" borderId="40" xfId="0" applyFont="1" applyFill="1" applyBorder="1" applyAlignment="1">
      <alignment horizontal="left" vertical="top" wrapText="1"/>
    </xf>
    <xf numFmtId="0" fontId="8" fillId="0" borderId="40" xfId="0" applyFont="1" applyBorder="1" applyAlignment="1">
      <alignment horizontal="center" vertical="top"/>
    </xf>
    <xf numFmtId="164" fontId="8" fillId="0" borderId="40" xfId="1" applyFont="1" applyBorder="1" applyAlignment="1">
      <alignment horizontal="right" vertical="top"/>
    </xf>
    <xf numFmtId="0" fontId="8" fillId="0" borderId="58" xfId="0" applyFont="1" applyBorder="1" applyAlignment="1">
      <alignment horizontal="center" vertical="top"/>
    </xf>
    <xf numFmtId="164" fontId="8" fillId="0" borderId="58" xfId="1" applyFont="1" applyBorder="1" applyAlignment="1">
      <alignment horizontal="right" vertical="top"/>
    </xf>
    <xf numFmtId="165" fontId="8" fillId="0" borderId="58" xfId="1" applyNumberFormat="1" applyFont="1" applyBorder="1" applyAlignment="1">
      <alignment horizontal="right" vertical="top"/>
    </xf>
    <xf numFmtId="164" fontId="8" fillId="0" borderId="59" xfId="1" applyFont="1" applyBorder="1" applyAlignment="1">
      <alignment horizontal="right" vertical="top"/>
    </xf>
    <xf numFmtId="0" fontId="4" fillId="0" borderId="0" xfId="0" applyFont="1" applyFill="1" applyBorder="1" applyAlignment="1">
      <alignment horizontal="left" vertical="top" wrapText="1"/>
    </xf>
    <xf numFmtId="164" fontId="8" fillId="0" borderId="12" xfId="1" applyFont="1" applyBorder="1" applyAlignment="1">
      <alignment horizontal="right" vertical="top"/>
    </xf>
    <xf numFmtId="165" fontId="8" fillId="0" borderId="12" xfId="1" applyNumberFormat="1" applyFont="1" applyBorder="1" applyAlignment="1">
      <alignment horizontal="right" vertical="top"/>
    </xf>
    <xf numFmtId="164" fontId="8" fillId="0" borderId="21" xfId="1" applyFont="1" applyBorder="1" applyAlignment="1">
      <alignment horizontal="right" vertical="top"/>
    </xf>
    <xf numFmtId="0" fontId="4" fillId="0" borderId="22" xfId="0" applyFont="1" applyBorder="1" applyAlignment="1">
      <alignment vertical="top"/>
    </xf>
    <xf numFmtId="0" fontId="8" fillId="0" borderId="58" xfId="0" applyFont="1" applyFill="1" applyBorder="1" applyAlignment="1">
      <alignment horizontal="left" vertical="top" wrapText="1"/>
    </xf>
    <xf numFmtId="0" fontId="50" fillId="0" borderId="17" xfId="0" applyFont="1" applyBorder="1" applyAlignment="1">
      <alignment horizontal="center" vertical="center"/>
    </xf>
    <xf numFmtId="0" fontId="8" fillId="0" borderId="7" xfId="0" applyFont="1" applyBorder="1" applyAlignment="1">
      <alignment horizontal="center" vertical="center"/>
    </xf>
    <xf numFmtId="164" fontId="8" fillId="0" borderId="7" xfId="1" applyFont="1" applyBorder="1" applyAlignment="1">
      <alignment horizontal="right" vertical="center"/>
    </xf>
    <xf numFmtId="165" fontId="8" fillId="0" borderId="7" xfId="1" applyNumberFormat="1" applyFont="1" applyBorder="1" applyAlignment="1">
      <alignment horizontal="right" vertical="center"/>
    </xf>
    <xf numFmtId="164" fontId="8" fillId="0" borderId="16" xfId="1" applyFont="1" applyBorder="1" applyAlignment="1">
      <alignment horizontal="right" vertical="center"/>
    </xf>
    <xf numFmtId="0" fontId="4" fillId="0" borderId="17" xfId="0" applyFont="1" applyBorder="1" applyAlignment="1">
      <alignment horizontal="left" vertical="top"/>
    </xf>
    <xf numFmtId="0" fontId="44" fillId="0" borderId="7" xfId="0" applyFont="1" applyFill="1" applyBorder="1" applyAlignment="1">
      <alignment horizontal="center" vertical="top"/>
    </xf>
    <xf numFmtId="0" fontId="44" fillId="0" borderId="7" xfId="0" applyFont="1" applyFill="1" applyBorder="1" applyAlignment="1">
      <alignment horizontal="left" vertical="top" wrapText="1"/>
    </xf>
    <xf numFmtId="0" fontId="4" fillId="0" borderId="18" xfId="0" applyFont="1" applyBorder="1" applyAlignment="1">
      <alignment vertical="top"/>
    </xf>
    <xf numFmtId="0" fontId="8" fillId="0" borderId="17" xfId="0" applyFont="1" applyBorder="1" applyAlignment="1">
      <alignment horizontal="center" vertical="center"/>
    </xf>
    <xf numFmtId="0" fontId="3" fillId="0" borderId="7" xfId="0" applyFont="1" applyBorder="1" applyAlignment="1">
      <alignment horizontal="center" vertical="top"/>
    </xf>
    <xf numFmtId="0" fontId="3" fillId="0" borderId="7" xfId="0" applyFont="1" applyBorder="1" applyAlignment="1">
      <alignment vertical="top"/>
    </xf>
    <xf numFmtId="0" fontId="3" fillId="0" borderId="9" xfId="0" applyFont="1" applyBorder="1" applyAlignment="1">
      <alignment horizontal="center" vertical="top"/>
    </xf>
    <xf numFmtId="0" fontId="3" fillId="0" borderId="9" xfId="0" applyFont="1" applyBorder="1" applyAlignment="1">
      <alignment vertical="top"/>
    </xf>
    <xf numFmtId="0" fontId="4" fillId="0" borderId="17" xfId="0" applyFont="1" applyBorder="1" applyAlignment="1">
      <alignment vertical="top"/>
    </xf>
    <xf numFmtId="0" fontId="8" fillId="0" borderId="9" xfId="0" applyFont="1" applyFill="1" applyBorder="1" applyAlignment="1">
      <alignment horizontal="left" vertical="top" wrapText="1"/>
    </xf>
    <xf numFmtId="0" fontId="8" fillId="0" borderId="9" xfId="0" applyFont="1" applyBorder="1" applyAlignment="1">
      <alignment horizontal="center" vertical="center"/>
    </xf>
    <xf numFmtId="164" fontId="8" fillId="0" borderId="9" xfId="1" applyFont="1" applyBorder="1" applyAlignment="1">
      <alignment horizontal="right" vertical="center"/>
    </xf>
    <xf numFmtId="0" fontId="8" fillId="0" borderId="48" xfId="0" applyFont="1" applyFill="1" applyBorder="1" applyAlignment="1">
      <alignment horizontal="left" vertical="top" wrapText="1"/>
    </xf>
    <xf numFmtId="0" fontId="8" fillId="0" borderId="48" xfId="0" applyFont="1" applyBorder="1" applyAlignment="1">
      <alignment horizontal="center" vertical="center"/>
    </xf>
    <xf numFmtId="164" fontId="8" fillId="0" borderId="48" xfId="1" applyFont="1" applyBorder="1" applyAlignment="1">
      <alignment horizontal="right" vertical="center"/>
    </xf>
    <xf numFmtId="165" fontId="8" fillId="0" borderId="48" xfId="1" applyNumberFormat="1" applyFont="1" applyBorder="1" applyAlignment="1">
      <alignment horizontal="right" vertical="center"/>
    </xf>
    <xf numFmtId="164" fontId="8" fillId="0" borderId="51" xfId="1" applyFont="1" applyBorder="1" applyAlignment="1">
      <alignment horizontal="right" vertical="center"/>
    </xf>
    <xf numFmtId="0" fontId="8" fillId="0" borderId="0" xfId="0" applyFont="1" applyBorder="1" applyAlignment="1">
      <alignment horizontal="center" vertical="top"/>
    </xf>
    <xf numFmtId="164" fontId="8" fillId="0" borderId="0" xfId="1" applyFont="1" applyBorder="1" applyAlignment="1">
      <alignment horizontal="right" vertical="top"/>
    </xf>
    <xf numFmtId="165" fontId="8" fillId="0" borderId="0" xfId="1" applyNumberFormat="1" applyFont="1" applyBorder="1" applyAlignment="1">
      <alignment horizontal="right" vertical="top"/>
    </xf>
    <xf numFmtId="167" fontId="8" fillId="0" borderId="61" xfId="1" applyNumberFormat="1" applyFont="1" applyBorder="1" applyAlignment="1">
      <alignment horizontal="right" vertical="top"/>
    </xf>
    <xf numFmtId="0" fontId="4" fillId="0" borderId="20" xfId="0" applyFont="1" applyBorder="1" applyAlignment="1">
      <alignment vertical="top"/>
    </xf>
    <xf numFmtId="0" fontId="3" fillId="0" borderId="12" xfId="0" applyFont="1" applyBorder="1" applyAlignment="1">
      <alignment vertical="top"/>
    </xf>
    <xf numFmtId="0" fontId="3" fillId="0" borderId="48" xfId="0" applyFont="1" applyBorder="1" applyAlignment="1">
      <alignment horizontal="center" vertical="top"/>
    </xf>
    <xf numFmtId="0" fontId="3" fillId="0" borderId="48" xfId="0" applyFont="1" applyBorder="1" applyAlignment="1">
      <alignment vertical="top"/>
    </xf>
    <xf numFmtId="0" fontId="8" fillId="0" borderId="7" xfId="0" applyFont="1" applyBorder="1" applyAlignment="1">
      <alignment horizontal="left" vertical="top" wrapText="1"/>
    </xf>
    <xf numFmtId="167" fontId="8" fillId="0" borderId="59" xfId="1" applyNumberFormat="1" applyFont="1" applyBorder="1" applyAlignment="1">
      <alignment horizontal="right" vertical="top"/>
    </xf>
    <xf numFmtId="164" fontId="8" fillId="0" borderId="7" xfId="1" applyFont="1" applyBorder="1" applyAlignment="1">
      <alignment horizontal="right" vertical="top"/>
    </xf>
    <xf numFmtId="165" fontId="8" fillId="0" borderId="7" xfId="1" applyNumberFormat="1" applyFont="1" applyBorder="1" applyAlignment="1">
      <alignment horizontal="right" vertical="top"/>
    </xf>
    <xf numFmtId="164" fontId="8" fillId="0" borderId="16" xfId="1" applyFont="1" applyBorder="1" applyAlignment="1">
      <alignment horizontal="right" vertical="top"/>
    </xf>
    <xf numFmtId="167" fontId="8" fillId="0" borderId="58" xfId="1" applyNumberFormat="1" applyFont="1" applyBorder="1" applyAlignment="1">
      <alignment horizontal="right" vertical="top"/>
    </xf>
    <xf numFmtId="0" fontId="51" fillId="0" borderId="17" xfId="0" applyFont="1" applyBorder="1" applyAlignment="1">
      <alignment horizontal="center" vertical="center"/>
    </xf>
    <xf numFmtId="0" fontId="41" fillId="0" borderId="8" xfId="0" applyFont="1" applyBorder="1" applyAlignment="1">
      <alignment vertical="top" wrapText="1"/>
    </xf>
    <xf numFmtId="0" fontId="7" fillId="0" borderId="7" xfId="0" applyFont="1" applyBorder="1" applyAlignment="1">
      <alignment vertical="top" wrapText="1"/>
    </xf>
    <xf numFmtId="164" fontId="3" fillId="0" borderId="7" xfId="1" applyFont="1" applyBorder="1" applyAlignment="1">
      <alignment horizontal="right" vertical="top"/>
    </xf>
    <xf numFmtId="0" fontId="41" fillId="0" borderId="7" xfId="0" applyFont="1" applyBorder="1" applyAlignment="1">
      <alignment vertical="top" wrapText="1"/>
    </xf>
    <xf numFmtId="0" fontId="41" fillId="16" borderId="7" xfId="0" applyFont="1" applyFill="1" applyBorder="1" applyAlignment="1">
      <alignment vertical="top" wrapText="1"/>
    </xf>
    <xf numFmtId="0" fontId="3" fillId="16" borderId="7" xfId="0" applyFont="1" applyFill="1" applyBorder="1" applyAlignment="1">
      <alignment horizontal="center" vertical="top"/>
    </xf>
    <xf numFmtId="0" fontId="3" fillId="16" borderId="7" xfId="0" applyFont="1" applyFill="1" applyBorder="1" applyAlignment="1">
      <alignment vertical="top"/>
    </xf>
    <xf numFmtId="164" fontId="3" fillId="16" borderId="7" xfId="1" applyFont="1" applyFill="1" applyBorder="1" applyAlignment="1">
      <alignment horizontal="right" vertical="top"/>
    </xf>
    <xf numFmtId="165" fontId="3" fillId="16" borderId="7" xfId="0" applyNumberFormat="1" applyFont="1" applyFill="1" applyBorder="1" applyAlignment="1">
      <alignment horizontal="right" vertical="top"/>
    </xf>
    <xf numFmtId="0" fontId="7" fillId="16" borderId="7" xfId="0" applyFont="1" applyFill="1" applyBorder="1" applyAlignment="1">
      <alignment vertical="top" wrapText="1"/>
    </xf>
    <xf numFmtId="0" fontId="4" fillId="16" borderId="17" xfId="0" applyFont="1" applyFill="1" applyBorder="1" applyAlignment="1">
      <alignment vertical="top"/>
    </xf>
    <xf numFmtId="0" fontId="4" fillId="16" borderId="22" xfId="0" applyFont="1" applyFill="1" applyBorder="1" applyAlignment="1">
      <alignment vertical="top"/>
    </xf>
    <xf numFmtId="0" fontId="5" fillId="4" borderId="58" xfId="0" applyFont="1" applyFill="1" applyBorder="1"/>
    <xf numFmtId="164" fontId="5" fillId="4" borderId="58" xfId="1" applyFont="1" applyFill="1" applyBorder="1" applyAlignment="1">
      <alignment horizontal="right"/>
    </xf>
    <xf numFmtId="0" fontId="3" fillId="0" borderId="12" xfId="0" applyFont="1" applyBorder="1" applyAlignment="1">
      <alignment horizontal="center" vertical="center"/>
    </xf>
    <xf numFmtId="164" fontId="3" fillId="0" borderId="12" xfId="1" applyFont="1" applyBorder="1" applyAlignment="1">
      <alignment horizontal="right" vertical="center"/>
    </xf>
    <xf numFmtId="165" fontId="3" fillId="0" borderId="12" xfId="0" applyNumberFormat="1" applyFont="1" applyBorder="1" applyAlignment="1">
      <alignment horizontal="right" vertical="center"/>
    </xf>
    <xf numFmtId="0" fontId="0" fillId="0" borderId="0" xfId="0" applyAlignment="1">
      <alignment horizontal="center" vertical="center"/>
    </xf>
    <xf numFmtId="0" fontId="3" fillId="0" borderId="7" xfId="0" applyFont="1" applyBorder="1" applyAlignment="1">
      <alignment horizontal="center" vertical="center"/>
    </xf>
    <xf numFmtId="164" fontId="3" fillId="0" borderId="7" xfId="1" applyFont="1" applyBorder="1" applyAlignment="1">
      <alignment horizontal="right" vertical="center"/>
    </xf>
    <xf numFmtId="165" fontId="3" fillId="0" borderId="7" xfId="0" applyNumberFormat="1" applyFont="1" applyBorder="1" applyAlignment="1">
      <alignment horizontal="right" vertical="center"/>
    </xf>
    <xf numFmtId="164" fontId="3" fillId="16" borderId="16" xfId="1" applyFont="1" applyFill="1" applyBorder="1" applyAlignment="1">
      <alignment horizontal="right" vertical="top"/>
    </xf>
    <xf numFmtId="164" fontId="3" fillId="0" borderId="12" xfId="1" applyFont="1" applyBorder="1" applyAlignment="1">
      <alignment horizontal="right" vertical="top"/>
    </xf>
    <xf numFmtId="2" fontId="5" fillId="7" borderId="58" xfId="0" applyNumberFormat="1" applyFont="1" applyFill="1" applyBorder="1"/>
    <xf numFmtId="0" fontId="3" fillId="16" borderId="7" xfId="0" applyFont="1" applyFill="1" applyBorder="1" applyAlignment="1">
      <alignment horizontal="center" vertical="center"/>
    </xf>
    <xf numFmtId="164" fontId="3" fillId="16" borderId="7" xfId="1" applyFont="1" applyFill="1" applyBorder="1" applyAlignment="1">
      <alignment horizontal="center" vertical="center"/>
    </xf>
    <xf numFmtId="165" fontId="3" fillId="16" borderId="7" xfId="0" applyNumberFormat="1" applyFont="1" applyFill="1" applyBorder="1" applyAlignment="1">
      <alignment vertical="center"/>
    </xf>
    <xf numFmtId="0" fontId="7" fillId="17" borderId="7" xfId="0" applyFont="1" applyFill="1" applyBorder="1" applyAlignment="1">
      <alignment vertical="top" wrapText="1"/>
    </xf>
    <xf numFmtId="0" fontId="0" fillId="17" borderId="7" xfId="0" applyFill="1" applyBorder="1" applyAlignment="1">
      <alignment horizontal="center" vertical="top"/>
    </xf>
    <xf numFmtId="0" fontId="0" fillId="17" borderId="7" xfId="0" applyFill="1" applyBorder="1" applyAlignment="1">
      <alignment vertical="top"/>
    </xf>
    <xf numFmtId="164" fontId="3" fillId="17" borderId="7" xfId="1" applyFont="1" applyFill="1" applyBorder="1" applyAlignment="1">
      <alignment horizontal="right" vertical="top"/>
    </xf>
    <xf numFmtId="165" fontId="3" fillId="17" borderId="7" xfId="0" applyNumberFormat="1" applyFont="1" applyFill="1" applyBorder="1" applyAlignment="1">
      <alignment horizontal="right" vertical="top"/>
    </xf>
    <xf numFmtId="0" fontId="7" fillId="17" borderId="8" xfId="0" applyFont="1" applyFill="1" applyBorder="1" applyAlignment="1">
      <alignment vertical="top" wrapText="1"/>
    </xf>
    <xf numFmtId="0" fontId="41" fillId="17" borderId="62" xfId="0" applyFont="1" applyFill="1" applyBorder="1" applyAlignment="1">
      <alignment vertical="top" wrapText="1"/>
    </xf>
    <xf numFmtId="165" fontId="3" fillId="17" borderId="58" xfId="0" applyNumberFormat="1" applyFont="1" applyFill="1" applyBorder="1" applyAlignment="1">
      <alignment horizontal="right" vertical="top"/>
    </xf>
    <xf numFmtId="164" fontId="3" fillId="17" borderId="59" xfId="1" applyFont="1" applyFill="1" applyBorder="1" applyAlignment="1">
      <alignment horizontal="right" vertical="top"/>
    </xf>
    <xf numFmtId="0" fontId="0" fillId="0" borderId="8" xfId="0" applyBorder="1" applyAlignment="1">
      <alignment horizontal="center" vertical="top"/>
    </xf>
    <xf numFmtId="0" fontId="0" fillId="0" borderId="8" xfId="0" applyBorder="1" applyAlignment="1">
      <alignment vertical="top"/>
    </xf>
    <xf numFmtId="0" fontId="36" fillId="17" borderId="65" xfId="0" applyFont="1" applyFill="1" applyBorder="1" applyAlignment="1">
      <alignment vertical="top"/>
    </xf>
    <xf numFmtId="0" fontId="0" fillId="17" borderId="66" xfId="0" applyFill="1" applyBorder="1" applyAlignment="1">
      <alignment horizontal="center" vertical="top"/>
    </xf>
    <xf numFmtId="0" fontId="0" fillId="17" borderId="66" xfId="0" applyFill="1" applyBorder="1" applyAlignment="1">
      <alignment vertical="top"/>
    </xf>
    <xf numFmtId="164" fontId="3" fillId="17" borderId="66" xfId="1" applyFont="1" applyFill="1" applyBorder="1" applyAlignment="1">
      <alignment horizontal="right" vertical="top"/>
    </xf>
    <xf numFmtId="165" fontId="3" fillId="17" borderId="66" xfId="0" applyNumberFormat="1" applyFont="1" applyFill="1" applyBorder="1" applyAlignment="1">
      <alignment horizontal="right" vertical="top"/>
    </xf>
    <xf numFmtId="0" fontId="36" fillId="17" borderId="67" xfId="0" applyFont="1" applyFill="1" applyBorder="1" applyAlignment="1">
      <alignment vertical="top"/>
    </xf>
    <xf numFmtId="0" fontId="36" fillId="17" borderId="68" xfId="0" applyFont="1" applyFill="1" applyBorder="1" applyAlignment="1">
      <alignment vertical="top"/>
    </xf>
    <xf numFmtId="0" fontId="41" fillId="17" borderId="69" xfId="0" applyFont="1" applyFill="1" applyBorder="1" applyAlignment="1">
      <alignment vertical="top" wrapText="1"/>
    </xf>
    <xf numFmtId="0" fontId="0" fillId="17" borderId="69" xfId="0" applyFill="1" applyBorder="1" applyAlignment="1">
      <alignment horizontal="center" vertical="top"/>
    </xf>
    <xf numFmtId="0" fontId="0" fillId="17" borderId="69" xfId="0" applyFill="1" applyBorder="1" applyAlignment="1">
      <alignment vertical="top"/>
    </xf>
    <xf numFmtId="164" fontId="3" fillId="17" borderId="69" xfId="1" applyFont="1" applyFill="1" applyBorder="1" applyAlignment="1">
      <alignment horizontal="right" vertical="top"/>
    </xf>
    <xf numFmtId="165" fontId="3" fillId="17" borderId="69" xfId="0" applyNumberFormat="1" applyFont="1" applyFill="1" applyBorder="1" applyAlignment="1">
      <alignment horizontal="right" vertical="top"/>
    </xf>
    <xf numFmtId="0" fontId="25" fillId="0" borderId="53" xfId="0" applyFont="1" applyFill="1" applyBorder="1" applyAlignment="1">
      <alignment horizontal="center"/>
    </xf>
    <xf numFmtId="0" fontId="25" fillId="0" borderId="52" xfId="0" applyFont="1" applyFill="1" applyBorder="1" applyAlignment="1">
      <alignment horizontal="center"/>
    </xf>
    <xf numFmtId="0" fontId="25" fillId="0" borderId="54" xfId="0" applyFont="1" applyFill="1" applyBorder="1" applyAlignment="1">
      <alignment horizontal="center"/>
    </xf>
    <xf numFmtId="164" fontId="3" fillId="0" borderId="58" xfId="1" applyFont="1" applyFill="1" applyBorder="1" applyAlignment="1">
      <alignment horizontal="center" vertical="center"/>
    </xf>
    <xf numFmtId="164" fontId="3" fillId="0" borderId="8" xfId="1" applyFont="1" applyFill="1" applyBorder="1" applyAlignment="1">
      <alignment horizontal="center" vertical="center"/>
    </xf>
    <xf numFmtId="164" fontId="37" fillId="0" borderId="59" xfId="1" applyFont="1" applyFill="1" applyBorder="1" applyAlignment="1">
      <alignment horizontal="center" vertical="center"/>
    </xf>
    <xf numFmtId="164" fontId="37" fillId="0" borderId="23" xfId="1" applyFont="1" applyFill="1" applyBorder="1" applyAlignment="1">
      <alignment horizontal="center" vertical="center"/>
    </xf>
    <xf numFmtId="0" fontId="5" fillId="4" borderId="13" xfId="0" applyFont="1" applyFill="1" applyBorder="1" applyAlignment="1">
      <alignment horizontal="left"/>
    </xf>
    <xf numFmtId="0" fontId="5" fillId="4" borderId="11" xfId="0" applyFont="1" applyFill="1" applyBorder="1" applyAlignment="1">
      <alignment horizontal="left"/>
    </xf>
    <xf numFmtId="0" fontId="20" fillId="0" borderId="24" xfId="0" applyFont="1" applyBorder="1" applyAlignment="1">
      <alignment horizontal="center" vertical="top" wrapText="1"/>
    </xf>
    <xf numFmtId="0" fontId="20" fillId="0" borderId="25" xfId="0" applyFont="1" applyBorder="1" applyAlignment="1">
      <alignment horizontal="center" vertical="top" wrapText="1"/>
    </xf>
    <xf numFmtId="0" fontId="20" fillId="0" borderId="26" xfId="0" applyFont="1" applyBorder="1" applyAlignment="1">
      <alignment horizontal="center" vertical="top" wrapText="1"/>
    </xf>
    <xf numFmtId="0" fontId="5" fillId="4" borderId="58" xfId="0" applyFont="1" applyFill="1" applyBorder="1" applyAlignment="1">
      <alignment horizontal="left"/>
    </xf>
    <xf numFmtId="0" fontId="52" fillId="17" borderId="63" xfId="0" applyFont="1" applyFill="1" applyBorder="1" applyAlignment="1">
      <alignment horizontal="center" vertical="center"/>
    </xf>
    <xf numFmtId="0" fontId="52" fillId="17" borderId="0" xfId="0" applyFont="1" applyFill="1" applyBorder="1" applyAlignment="1">
      <alignment horizontal="center" vertical="center"/>
    </xf>
    <xf numFmtId="0" fontId="52" fillId="17" borderId="64" xfId="0" applyFont="1" applyFill="1" applyBorder="1" applyAlignment="1">
      <alignment horizontal="center" vertical="center"/>
    </xf>
    <xf numFmtId="164" fontId="3" fillId="17" borderId="70" xfId="1" applyFont="1" applyFill="1" applyBorder="1" applyAlignment="1">
      <alignment horizontal="right" vertical="top"/>
    </xf>
    <xf numFmtId="164" fontId="3" fillId="17" borderId="16" xfId="1" applyFont="1" applyFill="1" applyBorder="1" applyAlignment="1">
      <alignment horizontal="right" vertical="top"/>
    </xf>
    <xf numFmtId="164" fontId="3" fillId="17" borderId="71" xfId="1" applyFont="1" applyFill="1" applyBorder="1" applyAlignment="1">
      <alignment horizontal="right" vertical="top"/>
    </xf>
    <xf numFmtId="164" fontId="0" fillId="0" borderId="72" xfId="1" applyFont="1" applyBorder="1" applyAlignment="1">
      <alignment horizontal="right"/>
    </xf>
    <xf numFmtId="164" fontId="3" fillId="16" borderId="51" xfId="1" applyFont="1" applyFill="1" applyBorder="1" applyAlignment="1">
      <alignment horizontal="right" vertical="top"/>
    </xf>
    <xf numFmtId="0" fontId="41" fillId="16" borderId="8" xfId="0" applyFont="1" applyFill="1" applyBorder="1" applyAlignment="1">
      <alignment vertical="top" wrapText="1"/>
    </xf>
    <xf numFmtId="0" fontId="3" fillId="16" borderId="8" xfId="0" applyFont="1" applyFill="1" applyBorder="1" applyAlignment="1">
      <alignment horizontal="center" vertical="top"/>
    </xf>
    <xf numFmtId="0" fontId="3" fillId="16" borderId="8" xfId="0" applyFont="1" applyFill="1" applyBorder="1" applyAlignment="1">
      <alignment vertical="top"/>
    </xf>
    <xf numFmtId="164" fontId="3" fillId="16" borderId="8" xfId="1" applyFont="1" applyFill="1" applyBorder="1" applyAlignment="1">
      <alignment horizontal="right" vertical="top"/>
    </xf>
    <xf numFmtId="165" fontId="3" fillId="16" borderId="8" xfId="0" applyNumberFormat="1" applyFont="1" applyFill="1" applyBorder="1" applyAlignment="1">
      <alignment horizontal="right" vertical="top"/>
    </xf>
    <xf numFmtId="164" fontId="3" fillId="16" borderId="23" xfId="1" applyFont="1" applyFill="1" applyBorder="1" applyAlignment="1">
      <alignment horizontal="right" vertical="top"/>
    </xf>
    <xf numFmtId="0" fontId="0" fillId="6" borderId="0" xfId="0" applyFill="1"/>
    <xf numFmtId="0" fontId="4" fillId="18" borderId="17" xfId="0" applyFont="1" applyFill="1" applyBorder="1" applyAlignment="1">
      <alignment vertical="top"/>
    </xf>
    <xf numFmtId="0" fontId="7" fillId="18" borderId="7" xfId="0" applyFont="1" applyFill="1" applyBorder="1" applyAlignment="1">
      <alignment vertical="top" wrapText="1"/>
    </xf>
    <xf numFmtId="0" fontId="3" fillId="18" borderId="7" xfId="0" applyFont="1" applyFill="1" applyBorder="1" applyAlignment="1">
      <alignment horizontal="center" vertical="top"/>
    </xf>
    <xf numFmtId="0" fontId="3" fillId="18" borderId="7" xfId="0" applyFont="1" applyFill="1" applyBorder="1" applyAlignment="1">
      <alignment vertical="top"/>
    </xf>
    <xf numFmtId="164" fontId="3" fillId="18" borderId="7" xfId="1" applyFont="1" applyFill="1" applyBorder="1" applyAlignment="1">
      <alignment horizontal="right" vertical="top"/>
    </xf>
    <xf numFmtId="165" fontId="3" fillId="18" borderId="7" xfId="0" applyNumberFormat="1" applyFont="1" applyFill="1" applyBorder="1" applyAlignment="1">
      <alignment horizontal="right" vertical="top"/>
    </xf>
    <xf numFmtId="164" fontId="3" fillId="18" borderId="16" xfId="1" applyFont="1" applyFill="1" applyBorder="1" applyAlignment="1">
      <alignment horizontal="right" vertical="top"/>
    </xf>
    <xf numFmtId="2" fontId="36" fillId="18" borderId="17" xfId="0" applyNumberFormat="1" applyFont="1" applyFill="1" applyBorder="1" applyAlignment="1">
      <alignment horizontal="left" vertical="top"/>
    </xf>
    <xf numFmtId="0" fontId="7" fillId="18" borderId="9" xfId="0" applyFont="1" applyFill="1" applyBorder="1" applyAlignment="1">
      <alignment vertical="top" wrapText="1"/>
    </xf>
    <xf numFmtId="0" fontId="8" fillId="18" borderId="9" xfId="0" applyFont="1" applyFill="1" applyBorder="1" applyAlignment="1">
      <alignment horizontal="center" vertical="top"/>
    </xf>
    <xf numFmtId="164" fontId="3" fillId="18" borderId="9" xfId="1" applyFont="1" applyFill="1" applyBorder="1" applyAlignment="1">
      <alignment horizontal="right" vertical="top"/>
    </xf>
    <xf numFmtId="165" fontId="3" fillId="18" borderId="9" xfId="0" applyNumberFormat="1" applyFont="1" applyFill="1" applyBorder="1" applyAlignment="1">
      <alignment horizontal="right" vertical="top"/>
    </xf>
    <xf numFmtId="164" fontId="3" fillId="18" borderId="19" xfId="1" applyFont="1" applyFill="1" applyBorder="1" applyAlignment="1">
      <alignment horizontal="right" vertical="top"/>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0</xdr:colOff>
          <xdr:row>16</xdr:row>
          <xdr:rowOff>0</xdr:rowOff>
        </xdr:from>
        <xdr:to>
          <xdr:col>7</xdr:col>
          <xdr:colOff>276225</xdr:colOff>
          <xdr:row>17</xdr:row>
          <xdr:rowOff>38100</xdr:rowOff>
        </xdr:to>
        <xdr:sp macro="" textlink="">
          <xdr:nvSpPr>
            <xdr:cNvPr id="11274" name="Check Box 10" hidden="1">
              <a:extLst>
                <a:ext uri="{63B3BB69-23CF-44E3-9099-C40C66FF867C}">
                  <a14:compatExt spid="_x0000_s11274"/>
                </a:ext>
                <a:ext uri="{FF2B5EF4-FFF2-40B4-BE49-F238E27FC236}">
                  <a16:creationId xmlns:a16="http://schemas.microsoft.com/office/drawing/2014/main" id="{00000000-0008-0000-0A00-00000A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1.bin"/><Relationship Id="rId4" Type="http://schemas.openxmlformats.org/officeDocument/2006/relationships/ctrlProp" Target="../ctrlProps/ctrlProp1.x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32"/>
  <sheetViews>
    <sheetView view="pageLayout" zoomScaleNormal="100" workbookViewId="0">
      <selection activeCell="C35" sqref="C35"/>
    </sheetView>
  </sheetViews>
  <sheetFormatPr defaultColWidth="11.5703125" defaultRowHeight="15" x14ac:dyDescent="0.25"/>
  <cols>
    <col min="1" max="1" width="1" style="12" customWidth="1"/>
    <col min="2" max="2" width="5" style="12" customWidth="1"/>
    <col min="3" max="3" width="71.7109375" style="21" customWidth="1"/>
    <col min="4" max="4" width="21.140625" style="21" customWidth="1"/>
    <col min="5" max="5" width="13.5703125" style="12" customWidth="1"/>
    <col min="6" max="6" width="26.5703125" style="19" bestFit="1" customWidth="1"/>
    <col min="7" max="7" width="12.7109375" style="12" bestFit="1" customWidth="1"/>
    <col min="8" max="8" width="3.7109375" style="12" customWidth="1"/>
    <col min="9" max="16384" width="11.5703125" style="12"/>
  </cols>
  <sheetData>
    <row r="1" spans="1:7" ht="33" thickTop="1" thickBot="1" x14ac:dyDescent="0.55000000000000004">
      <c r="B1" s="347" t="s">
        <v>443</v>
      </c>
      <c r="C1" s="348"/>
      <c r="D1" s="348"/>
      <c r="E1" s="348"/>
      <c r="F1" s="349"/>
    </row>
    <row r="2" spans="1:7" ht="16.5" thickBot="1" x14ac:dyDescent="0.3">
      <c r="B2" s="80" t="s">
        <v>7</v>
      </c>
      <c r="C2" s="14"/>
      <c r="D2" s="81" t="s">
        <v>51</v>
      </c>
      <c r="E2" s="81" t="s">
        <v>50</v>
      </c>
      <c r="F2" s="82" t="s">
        <v>52</v>
      </c>
    </row>
    <row r="3" spans="1:7" ht="24" thickTop="1" x14ac:dyDescent="0.25">
      <c r="A3" s="172"/>
      <c r="B3" s="75">
        <v>1</v>
      </c>
      <c r="C3" s="83" t="s">
        <v>53</v>
      </c>
      <c r="D3" s="60">
        <f>'01'!C3</f>
        <v>505.89</v>
      </c>
      <c r="E3" s="60">
        <f>F3/'01'!C3</f>
        <v>0</v>
      </c>
      <c r="F3" s="61">
        <f>'01'!G89</f>
        <v>0</v>
      </c>
    </row>
    <row r="4" spans="1:7" ht="23.25" x14ac:dyDescent="0.25">
      <c r="A4" s="172"/>
      <c r="B4" s="76">
        <v>2</v>
      </c>
      <c r="C4" s="84" t="s">
        <v>58</v>
      </c>
      <c r="D4" s="62">
        <f>'02'!C3</f>
        <v>225.57999999999998</v>
      </c>
      <c r="E4" s="62">
        <f>F4/'02'!C3</f>
        <v>0</v>
      </c>
      <c r="F4" s="63">
        <f>'02'!G92</f>
        <v>0</v>
      </c>
    </row>
    <row r="5" spans="1:7" ht="24" thickBot="1" x14ac:dyDescent="0.3">
      <c r="A5" s="172"/>
      <c r="B5" s="77">
        <v>3</v>
      </c>
      <c r="C5" s="85" t="s">
        <v>59</v>
      </c>
      <c r="D5" s="66">
        <f>'03'!C3</f>
        <v>374.05</v>
      </c>
      <c r="E5" s="66">
        <f>F5/'03'!C3</f>
        <v>0</v>
      </c>
      <c r="F5" s="67">
        <f>'03'!G82</f>
        <v>0</v>
      </c>
    </row>
    <row r="6" spans="1:7" ht="24" thickTop="1" x14ac:dyDescent="0.25">
      <c r="A6" s="173"/>
      <c r="B6" s="75">
        <v>4</v>
      </c>
      <c r="C6" s="83" t="s">
        <v>66</v>
      </c>
      <c r="D6" s="350">
        <f>'04'!C4+'05'!C3</f>
        <v>480.78999999999996</v>
      </c>
      <c r="E6" s="350">
        <f>F6/('04'!C4+'05'!C3)</f>
        <v>0</v>
      </c>
      <c r="F6" s="352">
        <f>'04'!G53+'05'!G85</f>
        <v>0</v>
      </c>
    </row>
    <row r="7" spans="1:7" ht="23.25" x14ac:dyDescent="0.25">
      <c r="A7" s="173"/>
      <c r="B7" s="76">
        <v>5</v>
      </c>
      <c r="C7" s="84" t="s">
        <v>54</v>
      </c>
      <c r="D7" s="351"/>
      <c r="E7" s="351"/>
      <c r="F7" s="353"/>
    </row>
    <row r="8" spans="1:7" ht="24" thickBot="1" x14ac:dyDescent="0.3">
      <c r="A8" s="173"/>
      <c r="B8" s="78">
        <v>6</v>
      </c>
      <c r="C8" s="86" t="s">
        <v>68</v>
      </c>
      <c r="D8" s="64">
        <f>'06'!C3*2</f>
        <v>636.17999999999995</v>
      </c>
      <c r="E8" s="64">
        <f>F8/('06'!C3*2)</f>
        <v>0</v>
      </c>
      <c r="F8" s="65">
        <f>'06'!G84*2</f>
        <v>0</v>
      </c>
    </row>
    <row r="9" spans="1:7" ht="24.75" thickTop="1" thickBot="1" x14ac:dyDescent="0.3">
      <c r="A9" s="174"/>
      <c r="B9" s="79">
        <v>7</v>
      </c>
      <c r="C9" s="86" t="s">
        <v>69</v>
      </c>
      <c r="D9" s="71">
        <f>'07'!C3*2</f>
        <v>1188.28</v>
      </c>
      <c r="E9" s="71">
        <f>F9/('07'!C3*2)</f>
        <v>0</v>
      </c>
      <c r="F9" s="72">
        <f>'07'!G84*2</f>
        <v>0</v>
      </c>
    </row>
    <row r="10" spans="1:7" ht="24.75" thickTop="1" thickBot="1" x14ac:dyDescent="0.3">
      <c r="A10" s="175"/>
      <c r="B10" s="79">
        <v>8</v>
      </c>
      <c r="C10" s="86" t="s">
        <v>55</v>
      </c>
      <c r="D10" s="71">
        <f>'08'!C3</f>
        <v>779.73500000000001</v>
      </c>
      <c r="E10" s="71">
        <f>F10/'08'!C3</f>
        <v>0</v>
      </c>
      <c r="F10" s="72">
        <f>'08'!G91</f>
        <v>0</v>
      </c>
    </row>
    <row r="11" spans="1:7" ht="24.75" thickTop="1" thickBot="1" x14ac:dyDescent="0.3">
      <c r="A11" s="176"/>
      <c r="B11" s="79">
        <v>9</v>
      </c>
      <c r="C11" s="86" t="s">
        <v>72</v>
      </c>
      <c r="D11" s="73">
        <f>'09'!C3*2</f>
        <v>253.3</v>
      </c>
      <c r="E11" s="73">
        <f>F11/('09'!C3*2)</f>
        <v>0</v>
      </c>
      <c r="F11" s="72">
        <f>'09'!G60*2</f>
        <v>0</v>
      </c>
    </row>
    <row r="12" spans="1:7" ht="24" thickTop="1" x14ac:dyDescent="0.25">
      <c r="A12" s="177"/>
      <c r="B12" s="75">
        <v>10</v>
      </c>
      <c r="C12" s="87" t="s">
        <v>73</v>
      </c>
      <c r="D12" s="60">
        <f>'10'!C3*2</f>
        <v>236.4</v>
      </c>
      <c r="E12" s="60">
        <f>F12/('10'!C3*2)</f>
        <v>0</v>
      </c>
      <c r="F12" s="61">
        <f>'10'!G78*2</f>
        <v>0</v>
      </c>
    </row>
    <row r="13" spans="1:7" ht="24" thickBot="1" x14ac:dyDescent="0.3">
      <c r="A13" s="177"/>
      <c r="B13" s="78">
        <v>11</v>
      </c>
      <c r="C13" s="86" t="s">
        <v>56</v>
      </c>
      <c r="D13" s="64">
        <f>'11'!C3</f>
        <v>102.935</v>
      </c>
      <c r="E13" s="64">
        <f>F13/'11'!C3</f>
        <v>0</v>
      </c>
      <c r="F13" s="65">
        <f>'11'!G84</f>
        <v>0</v>
      </c>
    </row>
    <row r="14" spans="1:7" ht="24.75" thickTop="1" thickBot="1" x14ac:dyDescent="0.3">
      <c r="A14" s="178"/>
      <c r="B14" s="89">
        <v>12</v>
      </c>
      <c r="C14" s="86" t="s">
        <v>86</v>
      </c>
      <c r="D14" s="90">
        <v>0</v>
      </c>
      <c r="E14" s="90">
        <f>F14/D16</f>
        <v>0</v>
      </c>
      <c r="F14" s="91">
        <f>'12'!F72</f>
        <v>0</v>
      </c>
    </row>
    <row r="15" spans="1:7" ht="24.75" thickTop="1" thickBot="1" x14ac:dyDescent="0.3">
      <c r="A15" s="171"/>
      <c r="B15" s="89">
        <v>13</v>
      </c>
      <c r="C15" s="86" t="s">
        <v>94</v>
      </c>
      <c r="D15" s="90"/>
      <c r="E15" s="90"/>
      <c r="F15" s="91">
        <f>'13'!G41</f>
        <v>0</v>
      </c>
    </row>
    <row r="16" spans="1:7" ht="24" customHeight="1" thickTop="1" thickBot="1" x14ac:dyDescent="0.3">
      <c r="B16" s="68"/>
      <c r="C16" s="69" t="s">
        <v>6</v>
      </c>
      <c r="D16" s="88">
        <f>SUM(D3:D13)</f>
        <v>4783.1399999999994</v>
      </c>
      <c r="E16" s="70">
        <f>F16/D16</f>
        <v>0</v>
      </c>
      <c r="F16" s="74">
        <f>SUM(F3:F15)</f>
        <v>0</v>
      </c>
      <c r="G16" s="19"/>
    </row>
    <row r="17" spans="2:7" ht="15.75" thickTop="1" x14ac:dyDescent="0.25">
      <c r="B17" s="17"/>
      <c r="C17" s="18"/>
      <c r="D17" s="18"/>
    </row>
    <row r="18" spans="2:7" ht="15.75" hidden="1" thickBot="1" x14ac:dyDescent="0.3">
      <c r="B18" s="17"/>
      <c r="C18" s="20"/>
      <c r="D18" s="20"/>
    </row>
    <row r="19" spans="2:7" ht="16.5" hidden="1" thickBot="1" x14ac:dyDescent="0.3">
      <c r="B19" s="13" t="s">
        <v>7</v>
      </c>
      <c r="C19" s="14"/>
      <c r="D19" s="14"/>
      <c r="E19" s="14"/>
      <c r="F19" s="15"/>
    </row>
    <row r="20" spans="2:7" ht="17.25" hidden="1" thickTop="1" thickBot="1" x14ac:dyDescent="0.3">
      <c r="B20" s="25">
        <v>1</v>
      </c>
      <c r="C20" s="28" t="s">
        <v>11</v>
      </c>
      <c r="D20" s="28"/>
      <c r="E20" s="42">
        <v>934.72758357920497</v>
      </c>
      <c r="F20" s="36">
        <v>382069.89978800004</v>
      </c>
      <c r="G20" s="19">
        <f t="shared" ref="G20:G27" si="0">F20-F3</f>
        <v>382069.89978800004</v>
      </c>
    </row>
    <row r="21" spans="2:7" ht="16.5" hidden="1" thickBot="1" x14ac:dyDescent="0.3">
      <c r="B21" s="26">
        <v>2</v>
      </c>
      <c r="C21" s="24" t="s">
        <v>18</v>
      </c>
      <c r="D21" s="24"/>
      <c r="E21" s="43">
        <v>1114.6000250291265</v>
      </c>
      <c r="F21" s="37">
        <v>229607.60515600006</v>
      </c>
      <c r="G21" s="19">
        <f t="shared" si="0"/>
        <v>229607.60515600006</v>
      </c>
    </row>
    <row r="22" spans="2:7" ht="16.5" hidden="1" thickBot="1" x14ac:dyDescent="0.3">
      <c r="B22" s="27">
        <v>3</v>
      </c>
      <c r="C22" s="29" t="s">
        <v>17</v>
      </c>
      <c r="D22" s="29"/>
      <c r="E22" s="44">
        <v>1036.9032196383039</v>
      </c>
      <c r="F22" s="38">
        <v>353760.27144400019</v>
      </c>
      <c r="G22" s="19">
        <f t="shared" si="0"/>
        <v>353760.27144400019</v>
      </c>
    </row>
    <row r="23" spans="2:7" ht="17.25" hidden="1" thickTop="1" thickBot="1" x14ac:dyDescent="0.3">
      <c r="B23" s="26">
        <v>4</v>
      </c>
      <c r="C23" s="24" t="s">
        <v>19</v>
      </c>
      <c r="D23" s="24"/>
      <c r="E23" s="45">
        <v>1085.1308282815537</v>
      </c>
      <c r="F23" s="37">
        <v>223536.95062600006</v>
      </c>
      <c r="G23" s="19">
        <f t="shared" si="0"/>
        <v>223536.95062600006</v>
      </c>
    </row>
    <row r="24" spans="2:7" ht="16.5" hidden="1" thickBot="1" x14ac:dyDescent="0.3">
      <c r="B24" s="26">
        <v>5</v>
      </c>
      <c r="C24" s="16" t="s">
        <v>9</v>
      </c>
      <c r="D24" s="16"/>
      <c r="E24" s="43">
        <v>918.50201816738752</v>
      </c>
      <c r="F24" s="39">
        <v>263499.85897186014</v>
      </c>
      <c r="G24" s="19">
        <f t="shared" si="0"/>
        <v>263499.85897186014</v>
      </c>
    </row>
    <row r="25" spans="2:7" ht="16.5" hidden="1" thickBot="1" x14ac:dyDescent="0.3">
      <c r="B25" s="26">
        <v>6</v>
      </c>
      <c r="C25" s="35" t="s">
        <v>15</v>
      </c>
      <c r="D25" s="35"/>
      <c r="E25" s="46">
        <v>749.39525855423926</v>
      </c>
      <c r="F25" s="37">
        <v>490763.96692200023</v>
      </c>
      <c r="G25" s="19">
        <f t="shared" si="0"/>
        <v>490763.96692200023</v>
      </c>
    </row>
    <row r="26" spans="2:7" ht="17.25" hidden="1" thickTop="1" thickBot="1" x14ac:dyDescent="0.3">
      <c r="B26" s="30">
        <v>7</v>
      </c>
      <c r="C26" s="32" t="s">
        <v>16</v>
      </c>
      <c r="D26" s="32"/>
      <c r="E26" s="47">
        <v>648.53548771049486</v>
      </c>
      <c r="F26" s="31">
        <v>752152.00258200057</v>
      </c>
      <c r="G26" s="19">
        <f t="shared" si="0"/>
        <v>752152.00258200057</v>
      </c>
    </row>
    <row r="27" spans="2:7" ht="17.25" hidden="1" thickTop="1" thickBot="1" x14ac:dyDescent="0.3">
      <c r="B27" s="26">
        <v>8</v>
      </c>
      <c r="C27" s="16" t="s">
        <v>8</v>
      </c>
      <c r="D27" s="16"/>
      <c r="E27" s="48">
        <v>675.04537839602472</v>
      </c>
      <c r="F27" s="37">
        <v>448297.63579280005</v>
      </c>
      <c r="G27" s="19">
        <f t="shared" si="0"/>
        <v>448297.63579280005</v>
      </c>
    </row>
    <row r="28" spans="2:7" ht="17.25" hidden="1" thickTop="1" thickBot="1" x14ac:dyDescent="0.3">
      <c r="B28" s="30">
        <v>9</v>
      </c>
      <c r="C28" s="32" t="s">
        <v>20</v>
      </c>
      <c r="D28" s="32"/>
      <c r="E28" s="47"/>
      <c r="F28" s="31"/>
      <c r="G28" s="19"/>
    </row>
    <row r="29" spans="2:7" ht="17.25" hidden="1" thickTop="1" thickBot="1" x14ac:dyDescent="0.3">
      <c r="B29" s="26">
        <v>10</v>
      </c>
      <c r="C29" s="16" t="s">
        <v>10</v>
      </c>
      <c r="D29" s="16"/>
      <c r="E29" s="48">
        <v>1210.8707880134425</v>
      </c>
      <c r="F29" s="37">
        <v>129708.47881199996</v>
      </c>
      <c r="G29" s="19">
        <f>F29-F12</f>
        <v>129708.47881199996</v>
      </c>
    </row>
    <row r="30" spans="2:7" ht="17.25" hidden="1" thickTop="1" thickBot="1" x14ac:dyDescent="0.3">
      <c r="B30" s="30">
        <v>11</v>
      </c>
      <c r="C30" s="32" t="s">
        <v>22</v>
      </c>
      <c r="D30" s="32"/>
      <c r="E30" s="47">
        <v>813.76521445175433</v>
      </c>
      <c r="F30" s="31">
        <v>55661.540668499998</v>
      </c>
      <c r="G30" s="19">
        <f>F30-F13</f>
        <v>55661.540668499998</v>
      </c>
    </row>
    <row r="31" spans="2:7" ht="17.25" hidden="1" thickTop="1" thickBot="1" x14ac:dyDescent="0.3">
      <c r="B31" s="27"/>
      <c r="C31" s="29" t="s">
        <v>6</v>
      </c>
      <c r="D31" s="29"/>
      <c r="E31" s="40">
        <v>811.35788830391925</v>
      </c>
      <c r="F31" s="41">
        <v>3329058.2107631615</v>
      </c>
      <c r="G31" s="34">
        <f>F31-F16</f>
        <v>3329058.2107631615</v>
      </c>
    </row>
    <row r="32" spans="2:7" ht="15.75" hidden="1" thickTop="1" x14ac:dyDescent="0.25"/>
  </sheetData>
  <mergeCells count="4">
    <mergeCell ref="B1:F1"/>
    <mergeCell ref="D6:D7"/>
    <mergeCell ref="E6:E7"/>
    <mergeCell ref="F6:F7"/>
  </mergeCells>
  <printOptions horizontalCentered="1"/>
  <pageMargins left="0.39370078740157483" right="0.39370078740157483" top="0.39370078740157483" bottom="0.59055118110236227" header="0.31496062992125984" footer="0.31496062992125984"/>
  <pageSetup paperSize="9" orientation="landscape" r:id="rId1"/>
  <headerFooter>
    <oddFooter>&amp;L&amp;8CONCEPTION ET ADAPTATION ARCHITECTURALE-STRUCTURALE DES PLAN TYPES DE CENTRES PUBLICS DE FORMATION PROFESSIONNELLE ET D’ETUDES TECHNIQUES EN VUE DE LA CONSTRUCTION DU CENTRE PROFESSIONNELLE DES CAYES</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0070C0"/>
  </sheetPr>
  <dimension ref="A1:T61"/>
  <sheetViews>
    <sheetView topLeftCell="A52" zoomScaleNormal="100" workbookViewId="0">
      <selection activeCell="B22" sqref="B22"/>
    </sheetView>
  </sheetViews>
  <sheetFormatPr defaultColWidth="11.5703125" defaultRowHeight="15" x14ac:dyDescent="0.25"/>
  <cols>
    <col min="1" max="1" width="5.7109375" style="181" customWidth="1"/>
    <col min="2" max="2" width="85.42578125" style="22" customWidth="1"/>
    <col min="3" max="3" width="8.28515625" bestFit="1" customWidth="1"/>
    <col min="4" max="4" width="3.7109375" customWidth="1"/>
    <col min="5" max="5" width="10" style="92" customWidth="1"/>
    <col min="6" max="6" width="10" style="93" customWidth="1"/>
    <col min="7" max="7" width="15" style="92" customWidth="1"/>
    <col min="8" max="11" width="11.5703125" customWidth="1"/>
  </cols>
  <sheetData>
    <row r="1" spans="1:7" ht="33.950000000000003" customHeight="1" thickTop="1" thickBot="1" x14ac:dyDescent="0.3">
      <c r="A1" s="356" t="s">
        <v>75</v>
      </c>
      <c r="B1" s="357"/>
      <c r="C1" s="357"/>
      <c r="D1" s="357"/>
      <c r="E1" s="357"/>
      <c r="F1" s="357"/>
      <c r="G1" s="358"/>
    </row>
    <row r="2" spans="1:7" ht="16.5" thickTop="1" thickBot="1" x14ac:dyDescent="0.3">
      <c r="C2" s="1" t="s">
        <v>615</v>
      </c>
      <c r="D2" s="1"/>
      <c r="E2" s="92" t="s">
        <v>4</v>
      </c>
      <c r="F2" s="93" t="s">
        <v>5</v>
      </c>
      <c r="G2" s="92" t="s">
        <v>6</v>
      </c>
    </row>
    <row r="3" spans="1:7" ht="16.5" thickTop="1" thickBot="1" x14ac:dyDescent="0.3">
      <c r="A3" s="354" t="s">
        <v>20</v>
      </c>
      <c r="B3" s="355"/>
      <c r="C3" s="57">
        <f>93.3+(66.7*50%)</f>
        <v>126.65</v>
      </c>
      <c r="D3" s="54" t="s">
        <v>0</v>
      </c>
      <c r="E3" s="94"/>
      <c r="F3" s="95"/>
      <c r="G3" s="96">
        <f>G60/C3</f>
        <v>0</v>
      </c>
    </row>
    <row r="4" spans="1:7" ht="40.5" customHeight="1" thickTop="1" x14ac:dyDescent="0.25">
      <c r="A4" s="188" t="s">
        <v>322</v>
      </c>
      <c r="B4" s="297" t="s">
        <v>99</v>
      </c>
      <c r="C4" s="200" t="s">
        <v>2</v>
      </c>
      <c r="D4" s="201"/>
      <c r="E4" s="319">
        <v>245.47</v>
      </c>
      <c r="F4" s="192">
        <v>0</v>
      </c>
      <c r="G4" s="193">
        <f t="shared" ref="G4:G6" si="0">SUM(F4*E4)</f>
        <v>0</v>
      </c>
    </row>
    <row r="5" spans="1:7" ht="40.5" customHeight="1" x14ac:dyDescent="0.25">
      <c r="A5" s="189" t="s">
        <v>323</v>
      </c>
      <c r="B5" s="298" t="s">
        <v>490</v>
      </c>
      <c r="C5" s="116" t="s">
        <v>2</v>
      </c>
      <c r="D5" s="117"/>
      <c r="E5" s="299">
        <v>115.37</v>
      </c>
      <c r="F5" s="151">
        <v>0</v>
      </c>
      <c r="G5" s="123">
        <f t="shared" si="0"/>
        <v>0</v>
      </c>
    </row>
    <row r="6" spans="1:7" ht="40.5" customHeight="1" x14ac:dyDescent="0.25">
      <c r="A6" s="189" t="s">
        <v>326</v>
      </c>
      <c r="B6" s="298" t="s">
        <v>29</v>
      </c>
      <c r="C6" s="116" t="s">
        <v>2</v>
      </c>
      <c r="D6" s="117"/>
      <c r="E6" s="299">
        <v>8.1</v>
      </c>
      <c r="F6" s="151">
        <v>0</v>
      </c>
      <c r="G6" s="123">
        <f t="shared" si="0"/>
        <v>0</v>
      </c>
    </row>
    <row r="7" spans="1:7" ht="40.5" customHeight="1" x14ac:dyDescent="0.25">
      <c r="A7" s="189" t="s">
        <v>327</v>
      </c>
      <c r="B7" s="298" t="s">
        <v>622</v>
      </c>
      <c r="C7" s="116" t="s">
        <v>2</v>
      </c>
      <c r="D7" s="117"/>
      <c r="E7" s="299">
        <v>45.33</v>
      </c>
      <c r="F7" s="151">
        <v>0</v>
      </c>
      <c r="G7" s="123">
        <v>0</v>
      </c>
    </row>
    <row r="8" spans="1:7" ht="30" customHeight="1" x14ac:dyDescent="0.25">
      <c r="A8" s="307"/>
      <c r="B8" s="301" t="s">
        <v>616</v>
      </c>
      <c r="C8" s="302" t="s">
        <v>2</v>
      </c>
      <c r="D8" s="303"/>
      <c r="E8" s="304">
        <v>9.36</v>
      </c>
      <c r="F8" s="305">
        <v>0</v>
      </c>
      <c r="G8" s="318"/>
    </row>
    <row r="9" spans="1:7" ht="30" customHeight="1" x14ac:dyDescent="0.25">
      <c r="A9" s="307"/>
      <c r="B9" s="301" t="s">
        <v>617</v>
      </c>
      <c r="C9" s="302" t="s">
        <v>2</v>
      </c>
      <c r="D9" s="303"/>
      <c r="E9" s="304">
        <v>27.45</v>
      </c>
      <c r="F9" s="305">
        <v>0</v>
      </c>
      <c r="G9" s="318"/>
    </row>
    <row r="10" spans="1:7" ht="30" customHeight="1" thickBot="1" x14ac:dyDescent="0.3">
      <c r="A10" s="307"/>
      <c r="B10" s="301" t="s">
        <v>618</v>
      </c>
      <c r="C10" s="302" t="s">
        <v>2</v>
      </c>
      <c r="D10" s="303"/>
      <c r="E10" s="304">
        <v>4.8499999999999996</v>
      </c>
      <c r="F10" s="305">
        <v>0</v>
      </c>
      <c r="G10" s="367"/>
    </row>
    <row r="11" spans="1:7" ht="61.5" thickTop="1" x14ac:dyDescent="0.25">
      <c r="A11" s="188" t="s">
        <v>322</v>
      </c>
      <c r="B11" s="137" t="s">
        <v>99</v>
      </c>
      <c r="C11" s="200" t="s">
        <v>2</v>
      </c>
      <c r="D11" s="201"/>
      <c r="E11" s="202">
        <f>253.3*0.5*1.05</f>
        <v>132.98250000000002</v>
      </c>
      <c r="F11" s="192">
        <v>0</v>
      </c>
      <c r="G11" s="193">
        <f t="shared" ref="G11:G31" si="1">SUM(F11*E11)</f>
        <v>0</v>
      </c>
    </row>
    <row r="12" spans="1:7" ht="72.75" x14ac:dyDescent="0.25">
      <c r="A12" s="189" t="s">
        <v>323</v>
      </c>
      <c r="B12" s="135" t="s">
        <v>490</v>
      </c>
      <c r="C12" s="116" t="s">
        <v>2</v>
      </c>
      <c r="D12" s="117"/>
      <c r="E12" s="150">
        <f>+E11*0.75</f>
        <v>99.736875000000012</v>
      </c>
      <c r="F12" s="151">
        <v>0</v>
      </c>
      <c r="G12" s="123">
        <f t="shared" si="1"/>
        <v>0</v>
      </c>
    </row>
    <row r="13" spans="1:7" ht="24.75" x14ac:dyDescent="0.25">
      <c r="A13" s="189" t="s">
        <v>324</v>
      </c>
      <c r="B13" s="135" t="s">
        <v>23</v>
      </c>
      <c r="C13" s="116" t="s">
        <v>2</v>
      </c>
      <c r="D13" s="117"/>
      <c r="E13" s="150">
        <f>(35.2789*0.1)+(93.3*0.1)</f>
        <v>12.857890000000001</v>
      </c>
      <c r="F13" s="151">
        <v>0</v>
      </c>
      <c r="G13" s="123">
        <f t="shared" si="1"/>
        <v>0</v>
      </c>
    </row>
    <row r="14" spans="1:7" ht="24.75" x14ac:dyDescent="0.25">
      <c r="A14" s="189" t="s">
        <v>325</v>
      </c>
      <c r="B14" s="135" t="s">
        <v>436</v>
      </c>
      <c r="C14" s="116" t="s">
        <v>2</v>
      </c>
      <c r="D14" s="117"/>
      <c r="E14" s="150">
        <f>14.8*6.2*0.15</f>
        <v>13.764000000000001</v>
      </c>
      <c r="F14" s="151">
        <v>0</v>
      </c>
      <c r="G14" s="123">
        <f t="shared" si="1"/>
        <v>0</v>
      </c>
    </row>
    <row r="15" spans="1:7" ht="48.75" x14ac:dyDescent="0.25">
      <c r="A15" s="189" t="s">
        <v>326</v>
      </c>
      <c r="B15" s="135" t="s">
        <v>29</v>
      </c>
      <c r="C15" s="116" t="s">
        <v>2</v>
      </c>
      <c r="D15" s="117"/>
      <c r="E15" s="150">
        <f>(35.2789*0.05)</f>
        <v>1.7639450000000001</v>
      </c>
      <c r="F15" s="151">
        <v>0</v>
      </c>
      <c r="G15" s="123">
        <f t="shared" si="1"/>
        <v>0</v>
      </c>
    </row>
    <row r="16" spans="1:7" ht="144.75" x14ac:dyDescent="0.25">
      <c r="A16" s="189" t="s">
        <v>327</v>
      </c>
      <c r="B16" s="138" t="s">
        <v>98</v>
      </c>
      <c r="C16" s="116" t="s">
        <v>2</v>
      </c>
      <c r="D16" s="117"/>
      <c r="E16" s="150">
        <f>(14.8*6.2*0.25)+10.58/3</f>
        <v>26.466666666666669</v>
      </c>
      <c r="F16" s="151">
        <v>0</v>
      </c>
      <c r="G16" s="123">
        <f t="shared" si="1"/>
        <v>0</v>
      </c>
    </row>
    <row r="17" spans="1:7" ht="96.75" x14ac:dyDescent="0.25">
      <c r="A17" s="189" t="s">
        <v>328</v>
      </c>
      <c r="B17" s="135" t="s">
        <v>79</v>
      </c>
      <c r="C17" s="116" t="s">
        <v>0</v>
      </c>
      <c r="D17" s="117"/>
      <c r="E17" s="150">
        <f>33.35+33.35</f>
        <v>66.7</v>
      </c>
      <c r="F17" s="151">
        <v>0</v>
      </c>
      <c r="G17" s="123">
        <f t="shared" si="1"/>
        <v>0</v>
      </c>
    </row>
    <row r="18" spans="1:7" ht="96.75" x14ac:dyDescent="0.25">
      <c r="A18" s="273" t="s">
        <v>329</v>
      </c>
      <c r="B18" s="135" t="s">
        <v>30</v>
      </c>
      <c r="C18" s="269" t="s">
        <v>2</v>
      </c>
      <c r="D18" s="270"/>
      <c r="E18" s="150">
        <v>2.34</v>
      </c>
      <c r="F18" s="151">
        <v>0</v>
      </c>
      <c r="G18" s="123">
        <f t="shared" si="1"/>
        <v>0</v>
      </c>
    </row>
    <row r="19" spans="1:7" ht="96.75" x14ac:dyDescent="0.25">
      <c r="A19" s="273" t="s">
        <v>330</v>
      </c>
      <c r="B19" s="135" t="s">
        <v>31</v>
      </c>
      <c r="C19" s="269" t="s">
        <v>2</v>
      </c>
      <c r="D19" s="270"/>
      <c r="E19" s="150">
        <v>9.5457999999999998</v>
      </c>
      <c r="F19" s="151">
        <v>0</v>
      </c>
      <c r="G19" s="123">
        <f t="shared" si="1"/>
        <v>0</v>
      </c>
    </row>
    <row r="20" spans="1:7" ht="108.75" x14ac:dyDescent="0.25">
      <c r="A20" s="273" t="s">
        <v>331</v>
      </c>
      <c r="B20" s="135" t="s">
        <v>32</v>
      </c>
      <c r="C20" s="269" t="s">
        <v>2</v>
      </c>
      <c r="D20" s="270"/>
      <c r="E20" s="150">
        <v>15.281499999999999</v>
      </c>
      <c r="F20" s="151">
        <v>0</v>
      </c>
      <c r="G20" s="123">
        <f t="shared" si="1"/>
        <v>0</v>
      </c>
    </row>
    <row r="21" spans="1:7" ht="40.5" customHeight="1" x14ac:dyDescent="0.25">
      <c r="A21" s="375"/>
      <c r="B21" s="376" t="s">
        <v>623</v>
      </c>
      <c r="C21" s="377" t="s">
        <v>2</v>
      </c>
      <c r="D21" s="378"/>
      <c r="E21" s="379">
        <v>2.2599999999999998</v>
      </c>
      <c r="F21" s="380">
        <v>0</v>
      </c>
      <c r="G21" s="381"/>
    </row>
    <row r="22" spans="1:7" ht="40.5" customHeight="1" x14ac:dyDescent="0.25">
      <c r="A22" s="273" t="s">
        <v>332</v>
      </c>
      <c r="B22" s="298" t="s">
        <v>34</v>
      </c>
      <c r="C22" s="269" t="s">
        <v>0</v>
      </c>
      <c r="D22" s="269"/>
      <c r="E22" s="299">
        <v>32.97</v>
      </c>
      <c r="F22" s="151">
        <v>0</v>
      </c>
      <c r="G22" s="123">
        <f t="shared" ref="G22" si="2">SUM(F22*E22)</f>
        <v>0</v>
      </c>
    </row>
    <row r="23" spans="1:7" ht="96.75" x14ac:dyDescent="0.25">
      <c r="A23" s="273" t="s">
        <v>333</v>
      </c>
      <c r="B23" s="139" t="s">
        <v>39</v>
      </c>
      <c r="C23" s="269" t="s">
        <v>3</v>
      </c>
      <c r="D23" s="270"/>
      <c r="E23" s="150">
        <v>2</v>
      </c>
      <c r="F23" s="151">
        <v>0</v>
      </c>
      <c r="G23" s="123">
        <f t="shared" si="1"/>
        <v>0</v>
      </c>
    </row>
    <row r="24" spans="1:7" ht="144.75" x14ac:dyDescent="0.25">
      <c r="A24" s="273" t="s">
        <v>334</v>
      </c>
      <c r="B24" s="139" t="s">
        <v>613</v>
      </c>
      <c r="C24" s="269" t="s">
        <v>0</v>
      </c>
      <c r="D24" s="270"/>
      <c r="E24" s="150">
        <f>(4*6.7*2.6)</f>
        <v>69.680000000000007</v>
      </c>
      <c r="F24" s="151">
        <v>0</v>
      </c>
      <c r="G24" s="123">
        <f t="shared" si="1"/>
        <v>0</v>
      </c>
    </row>
    <row r="25" spans="1:7" ht="84.75" x14ac:dyDescent="0.25">
      <c r="A25" s="273" t="s">
        <v>335</v>
      </c>
      <c r="B25" s="135" t="s">
        <v>42</v>
      </c>
      <c r="C25" s="269" t="s">
        <v>0</v>
      </c>
      <c r="D25" s="270"/>
      <c r="E25" s="150">
        <f>E22*2</f>
        <v>65.94</v>
      </c>
      <c r="F25" s="151">
        <v>0</v>
      </c>
      <c r="G25" s="123">
        <f t="shared" si="1"/>
        <v>0</v>
      </c>
    </row>
    <row r="26" spans="1:7" ht="72.75" x14ac:dyDescent="0.25">
      <c r="A26" s="273" t="s">
        <v>336</v>
      </c>
      <c r="B26" s="143" t="s">
        <v>466</v>
      </c>
      <c r="C26" s="269" t="s">
        <v>0</v>
      </c>
      <c r="D26" s="270"/>
      <c r="E26" s="150">
        <f>$C$3*0.95</f>
        <v>120.3175</v>
      </c>
      <c r="F26" s="151">
        <v>0</v>
      </c>
      <c r="G26" s="123">
        <f t="shared" si="1"/>
        <v>0</v>
      </c>
    </row>
    <row r="27" spans="1:7" ht="96.75" x14ac:dyDescent="0.25">
      <c r="A27" s="273" t="s">
        <v>337</v>
      </c>
      <c r="B27" s="135" t="s">
        <v>44</v>
      </c>
      <c r="C27" s="269" t="s">
        <v>0</v>
      </c>
      <c r="D27" s="269"/>
      <c r="E27" s="150">
        <f>(40.47*2)</f>
        <v>80.94</v>
      </c>
      <c r="F27" s="151">
        <v>0</v>
      </c>
      <c r="G27" s="123">
        <f t="shared" si="1"/>
        <v>0</v>
      </c>
    </row>
    <row r="28" spans="1:7" ht="72.75" x14ac:dyDescent="0.25">
      <c r="A28" s="273" t="s">
        <v>338</v>
      </c>
      <c r="B28" s="135" t="s">
        <v>43</v>
      </c>
      <c r="C28" s="269" t="s">
        <v>0</v>
      </c>
      <c r="D28" s="270"/>
      <c r="E28" s="150">
        <f>E27</f>
        <v>80.94</v>
      </c>
      <c r="F28" s="151">
        <v>0</v>
      </c>
      <c r="G28" s="123">
        <f t="shared" si="1"/>
        <v>0</v>
      </c>
    </row>
    <row r="29" spans="1:7" ht="60.75" x14ac:dyDescent="0.25">
      <c r="A29" s="273" t="s">
        <v>339</v>
      </c>
      <c r="B29" s="135" t="s">
        <v>37</v>
      </c>
      <c r="C29" s="269" t="s">
        <v>0</v>
      </c>
      <c r="D29" s="269"/>
      <c r="E29" s="150">
        <v>0</v>
      </c>
      <c r="F29" s="151">
        <v>0</v>
      </c>
      <c r="G29" s="123">
        <f t="shared" si="1"/>
        <v>0</v>
      </c>
    </row>
    <row r="30" spans="1:7" ht="120.75" x14ac:dyDescent="0.25">
      <c r="A30" s="273" t="s">
        <v>340</v>
      </c>
      <c r="B30" s="135" t="s">
        <v>35</v>
      </c>
      <c r="C30" s="269" t="s">
        <v>0</v>
      </c>
      <c r="D30" s="270"/>
      <c r="E30" s="150">
        <v>96.85</v>
      </c>
      <c r="F30" s="203">
        <v>0</v>
      </c>
      <c r="G30" s="123">
        <f t="shared" si="1"/>
        <v>0</v>
      </c>
    </row>
    <row r="31" spans="1:7" ht="97.5" thickBot="1" x14ac:dyDescent="0.3">
      <c r="A31" s="273" t="s">
        <v>341</v>
      </c>
      <c r="B31" s="142" t="s">
        <v>36</v>
      </c>
      <c r="C31" s="288" t="s">
        <v>0</v>
      </c>
      <c r="D31" s="289"/>
      <c r="E31" s="196">
        <f>E30*1.04</f>
        <v>100.724</v>
      </c>
      <c r="F31" s="197">
        <v>0</v>
      </c>
      <c r="G31" s="198">
        <f t="shared" si="1"/>
        <v>0</v>
      </c>
    </row>
    <row r="32" spans="1:7" s="8" customFormat="1" ht="181.5" thickTop="1" x14ac:dyDescent="0.25">
      <c r="A32" s="257" t="s">
        <v>342</v>
      </c>
      <c r="B32" s="258" t="s">
        <v>610</v>
      </c>
      <c r="C32" s="249" t="s">
        <v>80</v>
      </c>
      <c r="D32" s="249"/>
      <c r="E32" s="215">
        <v>1</v>
      </c>
      <c r="F32" s="216">
        <v>0</v>
      </c>
      <c r="G32" s="217">
        <f t="shared" ref="G32" si="3">SUM(F32*E32)</f>
        <v>0</v>
      </c>
    </row>
    <row r="33" spans="1:20" s="8" customFormat="1" ht="114.75" x14ac:dyDescent="0.25">
      <c r="A33" s="259"/>
      <c r="B33" s="140" t="s">
        <v>503</v>
      </c>
      <c r="C33" s="260" t="s">
        <v>95</v>
      </c>
      <c r="D33" s="260"/>
      <c r="E33" s="261">
        <v>30</v>
      </c>
      <c r="F33" s="262">
        <v>0</v>
      </c>
      <c r="G33" s="263"/>
      <c r="I33" s="222"/>
      <c r="J33" s="222"/>
      <c r="K33" s="222"/>
      <c r="L33" s="222"/>
      <c r="M33" s="222"/>
      <c r="N33" s="222"/>
      <c r="O33" s="222"/>
      <c r="P33" s="222"/>
      <c r="Q33" s="222"/>
      <c r="R33" s="222"/>
      <c r="S33" s="7"/>
      <c r="T33" s="7"/>
    </row>
    <row r="34" spans="1:20" s="8" customFormat="1" ht="114.75" x14ac:dyDescent="0.25">
      <c r="A34" s="259"/>
      <c r="B34" s="140" t="s">
        <v>504</v>
      </c>
      <c r="C34" s="260" t="s">
        <v>95</v>
      </c>
      <c r="D34" s="260"/>
      <c r="E34" s="261">
        <v>18</v>
      </c>
      <c r="F34" s="262">
        <v>0</v>
      </c>
      <c r="G34" s="263"/>
      <c r="I34" s="222"/>
      <c r="J34" s="222"/>
      <c r="K34" s="222"/>
      <c r="L34" s="222"/>
      <c r="M34" s="222"/>
      <c r="N34" s="222"/>
      <c r="O34" s="222"/>
      <c r="P34" s="222"/>
      <c r="Q34" s="222"/>
      <c r="R34" s="222"/>
      <c r="S34" s="7"/>
      <c r="T34" s="7"/>
    </row>
    <row r="35" spans="1:20" s="8" customFormat="1" ht="51" x14ac:dyDescent="0.25">
      <c r="A35" s="259"/>
      <c r="B35" s="139" t="s">
        <v>511</v>
      </c>
      <c r="C35" s="260" t="s">
        <v>95</v>
      </c>
      <c r="D35" s="260"/>
      <c r="E35" s="261">
        <v>4</v>
      </c>
      <c r="F35" s="262">
        <v>0</v>
      </c>
      <c r="G35" s="263"/>
      <c r="I35" s="222"/>
      <c r="J35" s="222"/>
      <c r="K35" s="222"/>
      <c r="L35" s="222"/>
      <c r="M35" s="222"/>
      <c r="N35" s="222"/>
      <c r="O35" s="222"/>
      <c r="P35" s="222"/>
      <c r="Q35" s="222"/>
      <c r="R35" s="222"/>
      <c r="S35" s="7"/>
      <c r="T35" s="7"/>
    </row>
    <row r="36" spans="1:20" s="8" customFormat="1" ht="51" x14ac:dyDescent="0.25">
      <c r="A36" s="259"/>
      <c r="B36" s="139" t="s">
        <v>514</v>
      </c>
      <c r="C36" s="260" t="s">
        <v>95</v>
      </c>
      <c r="D36" s="260"/>
      <c r="E36" s="261">
        <v>2</v>
      </c>
      <c r="F36" s="262">
        <v>0</v>
      </c>
      <c r="G36" s="263"/>
      <c r="I36" s="222"/>
      <c r="J36" s="222"/>
      <c r="K36" s="222"/>
      <c r="L36" s="222"/>
      <c r="M36" s="222"/>
      <c r="N36" s="222"/>
      <c r="O36" s="222"/>
      <c r="P36" s="222"/>
      <c r="Q36" s="222"/>
      <c r="R36" s="222"/>
      <c r="S36" s="7"/>
      <c r="T36" s="7"/>
    </row>
    <row r="37" spans="1:20" s="8" customFormat="1" ht="25.5" x14ac:dyDescent="0.25">
      <c r="A37" s="259"/>
      <c r="B37" s="140" t="s">
        <v>545</v>
      </c>
      <c r="C37" s="260" t="s">
        <v>95</v>
      </c>
      <c r="D37" s="260"/>
      <c r="E37" s="261">
        <v>2</v>
      </c>
      <c r="F37" s="262">
        <v>0</v>
      </c>
      <c r="G37" s="263"/>
      <c r="I37" s="222"/>
      <c r="J37" s="222"/>
      <c r="K37" s="222"/>
      <c r="L37" s="222"/>
      <c r="M37" s="222"/>
      <c r="N37" s="222"/>
      <c r="O37" s="222"/>
      <c r="P37" s="222"/>
      <c r="Q37" s="222"/>
      <c r="R37" s="222"/>
      <c r="S37" s="7"/>
      <c r="T37" s="7"/>
    </row>
    <row r="38" spans="1:20" s="8" customFormat="1" ht="25.5" x14ac:dyDescent="0.25">
      <c r="A38" s="259"/>
      <c r="B38" s="140" t="s">
        <v>509</v>
      </c>
      <c r="C38" s="260" t="s">
        <v>95</v>
      </c>
      <c r="D38" s="260"/>
      <c r="E38" s="261">
        <v>2</v>
      </c>
      <c r="F38" s="262">
        <v>0</v>
      </c>
      <c r="G38" s="263"/>
      <c r="I38" s="222"/>
      <c r="J38" s="222"/>
      <c r="K38" s="222"/>
      <c r="L38" s="222"/>
      <c r="M38" s="222"/>
      <c r="N38" s="222"/>
      <c r="O38" s="222"/>
      <c r="P38" s="222"/>
      <c r="Q38" s="222"/>
      <c r="R38" s="222"/>
      <c r="S38" s="7"/>
      <c r="T38" s="7"/>
    </row>
    <row r="39" spans="1:20" s="7" customFormat="1" ht="51" x14ac:dyDescent="0.25">
      <c r="A39" s="259"/>
      <c r="B39" s="140" t="s">
        <v>539</v>
      </c>
      <c r="C39" s="260" t="s">
        <v>80</v>
      </c>
      <c r="D39" s="260"/>
      <c r="E39" s="261">
        <v>1</v>
      </c>
      <c r="F39" s="262">
        <v>0</v>
      </c>
      <c r="G39" s="263"/>
      <c r="I39" s="222"/>
      <c r="J39" s="222"/>
      <c r="K39" s="222"/>
      <c r="L39" s="222"/>
      <c r="M39" s="222"/>
      <c r="N39" s="222"/>
      <c r="O39" s="222"/>
      <c r="P39" s="222"/>
      <c r="Q39" s="222"/>
      <c r="R39" s="222"/>
    </row>
    <row r="40" spans="1:20" s="7" customFormat="1" ht="76.5" x14ac:dyDescent="0.25">
      <c r="A40" s="259"/>
      <c r="B40" s="140" t="s">
        <v>542</v>
      </c>
      <c r="C40" s="260" t="s">
        <v>80</v>
      </c>
      <c r="D40" s="260"/>
      <c r="E40" s="261">
        <v>1</v>
      </c>
      <c r="F40" s="262">
        <v>0</v>
      </c>
      <c r="G40" s="263"/>
      <c r="I40" s="222"/>
      <c r="J40" s="222"/>
      <c r="K40" s="222"/>
      <c r="L40" s="222"/>
      <c r="M40" s="222"/>
      <c r="N40" s="222"/>
      <c r="O40" s="222"/>
      <c r="P40" s="222"/>
      <c r="Q40" s="222"/>
      <c r="R40" s="222"/>
    </row>
    <row r="41" spans="1:20" s="7" customFormat="1" ht="63.75" x14ac:dyDescent="0.25">
      <c r="A41" s="259"/>
      <c r="B41" s="139" t="s">
        <v>541</v>
      </c>
      <c r="C41" s="260" t="s">
        <v>95</v>
      </c>
      <c r="D41" s="260"/>
      <c r="E41" s="261">
        <v>1</v>
      </c>
      <c r="F41" s="262">
        <v>0</v>
      </c>
      <c r="G41" s="263"/>
      <c r="I41" s="222"/>
      <c r="J41" s="222"/>
      <c r="K41" s="222"/>
      <c r="L41" s="222"/>
      <c r="M41" s="222"/>
      <c r="N41" s="222"/>
      <c r="O41" s="222"/>
      <c r="P41" s="222"/>
      <c r="Q41" s="222"/>
      <c r="R41" s="222"/>
    </row>
    <row r="42" spans="1:20" s="7" customFormat="1" ht="16.5" x14ac:dyDescent="0.25">
      <c r="A42" s="259"/>
      <c r="B42" s="140" t="s">
        <v>506</v>
      </c>
      <c r="C42" s="260" t="s">
        <v>80</v>
      </c>
      <c r="D42" s="260"/>
      <c r="E42" s="261">
        <v>1</v>
      </c>
      <c r="F42" s="262">
        <v>0</v>
      </c>
      <c r="G42" s="263"/>
      <c r="I42" s="222"/>
      <c r="J42" s="222"/>
      <c r="K42" s="222"/>
      <c r="L42" s="222"/>
      <c r="M42" s="222"/>
      <c r="N42" s="222"/>
      <c r="O42" s="222"/>
      <c r="P42" s="222"/>
      <c r="Q42" s="222"/>
      <c r="R42" s="222"/>
    </row>
    <row r="43" spans="1:20" s="7" customFormat="1" ht="64.5" thickBot="1" x14ac:dyDescent="0.3">
      <c r="A43" s="259"/>
      <c r="B43" s="140" t="s">
        <v>515</v>
      </c>
      <c r="C43" s="260" t="s">
        <v>80</v>
      </c>
      <c r="D43" s="260"/>
      <c r="E43" s="261">
        <v>1</v>
      </c>
      <c r="F43" s="262">
        <v>0</v>
      </c>
      <c r="G43" s="263"/>
      <c r="I43" s="222"/>
      <c r="J43" s="222"/>
      <c r="K43" s="222"/>
      <c r="L43" s="222"/>
      <c r="M43" s="222"/>
      <c r="N43" s="222"/>
      <c r="O43" s="222"/>
      <c r="P43" s="222"/>
      <c r="Q43" s="222"/>
      <c r="R43" s="222"/>
    </row>
    <row r="44" spans="1:20" s="146" customFormat="1" ht="301.5" thickTop="1" x14ac:dyDescent="0.25">
      <c r="A44" s="267" t="s">
        <v>343</v>
      </c>
      <c r="B44" s="258" t="s">
        <v>611</v>
      </c>
      <c r="C44" s="249" t="s">
        <v>80</v>
      </c>
      <c r="D44" s="249"/>
      <c r="E44" s="215">
        <v>1</v>
      </c>
      <c r="F44" s="216">
        <v>0</v>
      </c>
      <c r="G44" s="217">
        <f>SUM(F44*E44)</f>
        <v>0</v>
      </c>
    </row>
    <row r="45" spans="1:20" s="8" customFormat="1" ht="16.5" x14ac:dyDescent="0.25">
      <c r="A45" s="268"/>
      <c r="B45" s="226" t="s">
        <v>519</v>
      </c>
      <c r="C45" s="260"/>
      <c r="D45" s="260"/>
      <c r="E45" s="261"/>
      <c r="F45" s="262"/>
      <c r="G45" s="263"/>
    </row>
    <row r="46" spans="1:20" s="8" customFormat="1" ht="38.25" x14ac:dyDescent="0.25">
      <c r="A46" s="268"/>
      <c r="B46" s="139" t="s">
        <v>540</v>
      </c>
      <c r="C46" s="260" t="s">
        <v>516</v>
      </c>
      <c r="D46" s="260"/>
      <c r="E46" s="261">
        <f>8*3+15*2+6.3*2</f>
        <v>66.599999999999994</v>
      </c>
      <c r="F46" s="262">
        <v>0</v>
      </c>
      <c r="G46" s="263">
        <f t="shared" ref="G46:G50" si="4">E46*F46</f>
        <v>0</v>
      </c>
    </row>
    <row r="47" spans="1:20" s="8" customFormat="1" ht="38.25" x14ac:dyDescent="0.25">
      <c r="A47" s="268"/>
      <c r="B47" s="139" t="s">
        <v>527</v>
      </c>
      <c r="C47" s="260" t="s">
        <v>80</v>
      </c>
      <c r="D47" s="260"/>
      <c r="E47" s="261">
        <v>1</v>
      </c>
      <c r="F47" s="262">
        <v>0</v>
      </c>
      <c r="G47" s="263">
        <f t="shared" si="4"/>
        <v>0</v>
      </c>
    </row>
    <row r="48" spans="1:20" s="8" customFormat="1" ht="16.5" x14ac:dyDescent="0.25">
      <c r="A48" s="268"/>
      <c r="B48" s="139" t="s">
        <v>520</v>
      </c>
      <c r="C48" s="260" t="s">
        <v>95</v>
      </c>
      <c r="D48" s="260"/>
      <c r="E48" s="261">
        <f>8*3</f>
        <v>24</v>
      </c>
      <c r="F48" s="262">
        <v>0</v>
      </c>
      <c r="G48" s="263">
        <f t="shared" si="4"/>
        <v>0</v>
      </c>
    </row>
    <row r="49" spans="1:18" s="8" customFormat="1" ht="16.5" x14ac:dyDescent="0.25">
      <c r="A49" s="268"/>
      <c r="B49" s="139" t="s">
        <v>535</v>
      </c>
      <c r="C49" s="260" t="s">
        <v>95</v>
      </c>
      <c r="D49" s="260"/>
      <c r="E49" s="261">
        <f>15*2+6.3*2</f>
        <v>42.6</v>
      </c>
      <c r="F49" s="262">
        <v>0</v>
      </c>
      <c r="G49" s="263">
        <f t="shared" si="4"/>
        <v>0</v>
      </c>
    </row>
    <row r="50" spans="1:18" s="8" customFormat="1" ht="17.25" thickBot="1" x14ac:dyDescent="0.3">
      <c r="A50" s="268"/>
      <c r="B50" s="140" t="s">
        <v>526</v>
      </c>
      <c r="C50" s="260" t="s">
        <v>80</v>
      </c>
      <c r="D50" s="260"/>
      <c r="E50" s="261">
        <v>1</v>
      </c>
      <c r="F50" s="262">
        <v>0</v>
      </c>
      <c r="G50" s="263">
        <f t="shared" si="4"/>
        <v>0</v>
      </c>
    </row>
    <row r="51" spans="1:18" s="8" customFormat="1" ht="145.5" thickTop="1" x14ac:dyDescent="0.25">
      <c r="A51" s="257" t="s">
        <v>344</v>
      </c>
      <c r="B51" s="258" t="s">
        <v>612</v>
      </c>
      <c r="C51" s="249" t="s">
        <v>80</v>
      </c>
      <c r="D51" s="249"/>
      <c r="E51" s="215">
        <v>1</v>
      </c>
      <c r="F51" s="216">
        <v>0</v>
      </c>
      <c r="G51" s="217">
        <f>SUM(F51*E51)</f>
        <v>0</v>
      </c>
    </row>
    <row r="52" spans="1:18" s="7" customFormat="1" ht="63.75" x14ac:dyDescent="0.25">
      <c r="A52" s="259"/>
      <c r="B52" s="140" t="s">
        <v>543</v>
      </c>
      <c r="C52" s="260" t="s">
        <v>80</v>
      </c>
      <c r="D52" s="260"/>
      <c r="E52" s="261">
        <v>1</v>
      </c>
      <c r="F52" s="262">
        <v>0</v>
      </c>
      <c r="G52" s="263">
        <f t="shared" ref="G52:G56" si="5">E52*F52</f>
        <v>0</v>
      </c>
      <c r="I52" s="222"/>
      <c r="J52" s="222"/>
      <c r="K52" s="222"/>
      <c r="L52" s="222"/>
      <c r="M52" s="222"/>
      <c r="N52" s="222"/>
      <c r="O52" s="222"/>
      <c r="P52" s="222"/>
      <c r="Q52" s="222"/>
      <c r="R52" s="222"/>
    </row>
    <row r="53" spans="1:18" s="7" customFormat="1" ht="63.75" x14ac:dyDescent="0.25">
      <c r="A53" s="259"/>
      <c r="B53" s="140" t="s">
        <v>544</v>
      </c>
      <c r="C53" s="260" t="s">
        <v>80</v>
      </c>
      <c r="D53" s="260"/>
      <c r="E53" s="261">
        <v>1</v>
      </c>
      <c r="F53" s="262">
        <v>0</v>
      </c>
      <c r="G53" s="263">
        <f t="shared" si="5"/>
        <v>0</v>
      </c>
      <c r="I53" s="222"/>
      <c r="J53" s="222"/>
      <c r="K53" s="222"/>
      <c r="L53" s="222"/>
      <c r="M53" s="222"/>
      <c r="N53" s="222"/>
      <c r="O53" s="222"/>
      <c r="P53" s="222"/>
      <c r="Q53" s="222"/>
      <c r="R53" s="222"/>
    </row>
    <row r="54" spans="1:18" s="146" customFormat="1" ht="38.25" x14ac:dyDescent="0.25">
      <c r="A54" s="257"/>
      <c r="B54" s="274" t="s">
        <v>537</v>
      </c>
      <c r="C54" s="275" t="s">
        <v>95</v>
      </c>
      <c r="D54" s="275"/>
      <c r="E54" s="276">
        <v>2</v>
      </c>
      <c r="F54" s="262">
        <v>0</v>
      </c>
      <c r="G54" s="263">
        <f t="shared" si="5"/>
        <v>0</v>
      </c>
    </row>
    <row r="55" spans="1:18" s="146" customFormat="1" ht="63.75" x14ac:dyDescent="0.25">
      <c r="A55" s="257"/>
      <c r="B55" s="274" t="s">
        <v>553</v>
      </c>
      <c r="C55" s="275" t="s">
        <v>95</v>
      </c>
      <c r="D55" s="275"/>
      <c r="E55" s="276">
        <v>2</v>
      </c>
      <c r="F55" s="262">
        <v>0</v>
      </c>
      <c r="G55" s="263">
        <f t="shared" si="5"/>
        <v>0</v>
      </c>
    </row>
    <row r="56" spans="1:18" s="146" customFormat="1" ht="17.25" thickBot="1" x14ac:dyDescent="0.3">
      <c r="A56" s="257"/>
      <c r="B56" s="277" t="s">
        <v>526</v>
      </c>
      <c r="C56" s="278" t="s">
        <v>80</v>
      </c>
      <c r="D56" s="278"/>
      <c r="E56" s="279">
        <v>1</v>
      </c>
      <c r="F56" s="280">
        <v>0</v>
      </c>
      <c r="G56" s="281">
        <f t="shared" si="5"/>
        <v>0</v>
      </c>
    </row>
    <row r="57" spans="1:18" ht="15.75" thickTop="1" x14ac:dyDescent="0.25">
      <c r="A57" s="273" t="s">
        <v>345</v>
      </c>
      <c r="B57" s="227" t="s">
        <v>438</v>
      </c>
      <c r="C57" s="249"/>
      <c r="D57" s="249"/>
      <c r="E57" s="250"/>
      <c r="F57" s="251"/>
      <c r="G57" s="291"/>
    </row>
    <row r="58" spans="1:18" x14ac:dyDescent="0.25">
      <c r="A58" s="273" t="s">
        <v>482</v>
      </c>
      <c r="B58" s="290" t="s">
        <v>14</v>
      </c>
      <c r="C58" s="164" t="s">
        <v>12</v>
      </c>
      <c r="D58" s="164"/>
      <c r="E58" s="292">
        <v>1</v>
      </c>
      <c r="F58" s="293">
        <v>0</v>
      </c>
      <c r="G58" s="294">
        <f>E58*F58</f>
        <v>0</v>
      </c>
    </row>
    <row r="59" spans="1:18" ht="15.75" thickBot="1" x14ac:dyDescent="0.3">
      <c r="A59" s="189" t="s">
        <v>483</v>
      </c>
      <c r="B59" s="49" t="s">
        <v>13</v>
      </c>
      <c r="C59" s="157" t="s">
        <v>12</v>
      </c>
      <c r="D59" s="157"/>
      <c r="E59" s="158">
        <v>2</v>
      </c>
      <c r="F59" s="159">
        <v>0</v>
      </c>
      <c r="G59" s="160">
        <f>E59*F59</f>
        <v>0</v>
      </c>
    </row>
    <row r="60" spans="1:18" ht="16.5" thickTop="1" thickBot="1" x14ac:dyDescent="0.3">
      <c r="A60" s="186"/>
      <c r="B60" s="51"/>
      <c r="C60" s="52"/>
      <c r="D60" s="52"/>
      <c r="E60" s="97"/>
      <c r="F60" s="98"/>
      <c r="G60" s="99">
        <f>SUM(G11:G59)</f>
        <v>0</v>
      </c>
    </row>
    <row r="61" spans="1:18" ht="15.75" thickTop="1" x14ac:dyDescent="0.25"/>
  </sheetData>
  <mergeCells count="2">
    <mergeCell ref="A3:B3"/>
    <mergeCell ref="A1:G1"/>
  </mergeCells>
  <printOptions horizontalCentered="1"/>
  <pageMargins left="0.39370078740157483" right="0.39370078740157483" top="0.39370078740157483" bottom="0.59055118110236227" header="0.31496062992125984" footer="0.31496062992125984"/>
  <pageSetup paperSize="9" orientation="landscape" r:id="rId1"/>
  <headerFooter>
    <oddFooter>&amp;L&amp;8CONCEPTION ET ADAPTATION ARCHITECTURALE-STRUCTURALE DES PLAN TYPES DE CENTRES PUBLICS DE FORMATION PROFESSIONNELLE ET D’ETUDES TECHNIQUES EN VUE DE LA CONSTRUCTION DU CENTRE PROFESSIONNELLE DES CAYES</oddFooter>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7030A0"/>
  </sheetPr>
  <dimension ref="A1:T79"/>
  <sheetViews>
    <sheetView zoomScaleNormal="100" workbookViewId="0">
      <selection activeCell="B29" sqref="B29"/>
    </sheetView>
  </sheetViews>
  <sheetFormatPr defaultColWidth="11.5703125" defaultRowHeight="15" x14ac:dyDescent="0.25"/>
  <cols>
    <col min="1" max="1" width="5.7109375" style="181" customWidth="1"/>
    <col min="2" max="2" width="85.42578125" style="22" customWidth="1"/>
    <col min="3" max="3" width="8.28515625" bestFit="1" customWidth="1"/>
    <col min="4" max="4" width="3.7109375" customWidth="1"/>
    <col min="5" max="5" width="10" style="92" customWidth="1"/>
    <col min="6" max="6" width="10" style="93" customWidth="1"/>
    <col min="7" max="7" width="15" style="92" customWidth="1"/>
    <col min="8" max="11" width="11.5703125" customWidth="1"/>
  </cols>
  <sheetData>
    <row r="1" spans="1:7" ht="33.950000000000003" customHeight="1" thickTop="1" thickBot="1" x14ac:dyDescent="0.3">
      <c r="A1" s="356" t="s">
        <v>76</v>
      </c>
      <c r="B1" s="357"/>
      <c r="C1" s="357"/>
      <c r="D1" s="357"/>
      <c r="E1" s="357"/>
      <c r="F1" s="357"/>
      <c r="G1" s="358"/>
    </row>
    <row r="2" spans="1:7" ht="16.5" thickTop="1" thickBot="1" x14ac:dyDescent="0.3">
      <c r="C2" s="1" t="s">
        <v>615</v>
      </c>
      <c r="D2" s="1"/>
      <c r="E2" s="92" t="s">
        <v>4</v>
      </c>
      <c r="F2" s="93" t="s">
        <v>5</v>
      </c>
      <c r="G2" s="92" t="s">
        <v>6</v>
      </c>
    </row>
    <row r="3" spans="1:7" ht="16.5" thickTop="1" thickBot="1" x14ac:dyDescent="0.3">
      <c r="A3" s="354" t="s">
        <v>28</v>
      </c>
      <c r="B3" s="355"/>
      <c r="C3" s="53">
        <f>118.2</f>
        <v>118.2</v>
      </c>
      <c r="D3" s="54" t="s">
        <v>0</v>
      </c>
      <c r="E3" s="94"/>
      <c r="F3" s="95"/>
      <c r="G3" s="96">
        <f>G78/C3</f>
        <v>0</v>
      </c>
    </row>
    <row r="4" spans="1:7" ht="35.25" customHeight="1" thickTop="1" x14ac:dyDescent="0.25">
      <c r="A4" s="188" t="s">
        <v>346</v>
      </c>
      <c r="B4" s="297" t="s">
        <v>99</v>
      </c>
      <c r="C4" s="200" t="s">
        <v>2</v>
      </c>
      <c r="D4" s="201"/>
      <c r="E4" s="319">
        <v>306.18</v>
      </c>
      <c r="F4" s="192">
        <v>0</v>
      </c>
      <c r="G4" s="193">
        <f t="shared" ref="G4:G7" si="0">SUM(F4*E4)</f>
        <v>0</v>
      </c>
    </row>
    <row r="5" spans="1:7" ht="35.25" customHeight="1" x14ac:dyDescent="0.25">
      <c r="A5" s="189" t="s">
        <v>348</v>
      </c>
      <c r="B5" s="298" t="s">
        <v>490</v>
      </c>
      <c r="C5" s="116" t="s">
        <v>2</v>
      </c>
      <c r="D5" s="117"/>
      <c r="E5" s="299">
        <v>143.9</v>
      </c>
      <c r="F5" s="151">
        <v>0</v>
      </c>
      <c r="G5" s="123">
        <f t="shared" si="0"/>
        <v>0</v>
      </c>
    </row>
    <row r="6" spans="1:7" ht="35.25" customHeight="1" x14ac:dyDescent="0.25">
      <c r="A6" s="189" t="s">
        <v>349</v>
      </c>
      <c r="B6" s="298" t="s">
        <v>29</v>
      </c>
      <c r="C6" s="116" t="s">
        <v>2</v>
      </c>
      <c r="D6" s="117"/>
      <c r="E6" s="299">
        <v>10.1</v>
      </c>
      <c r="F6" s="151">
        <v>0</v>
      </c>
      <c r="G6" s="123">
        <f t="shared" si="0"/>
        <v>0</v>
      </c>
    </row>
    <row r="7" spans="1:7" ht="35.25" customHeight="1" x14ac:dyDescent="0.25">
      <c r="A7" s="189" t="s">
        <v>350</v>
      </c>
      <c r="B7" s="300" t="s">
        <v>98</v>
      </c>
      <c r="C7" s="116" t="s">
        <v>2</v>
      </c>
      <c r="D7" s="117"/>
      <c r="E7" s="299">
        <v>59.06</v>
      </c>
      <c r="F7" s="151">
        <v>0</v>
      </c>
      <c r="G7" s="123">
        <f t="shared" si="0"/>
        <v>0</v>
      </c>
    </row>
    <row r="8" spans="1:7" ht="30" customHeight="1" x14ac:dyDescent="0.25">
      <c r="A8" s="307"/>
      <c r="B8" s="301" t="s">
        <v>616</v>
      </c>
      <c r="C8" s="302" t="s">
        <v>2</v>
      </c>
      <c r="D8" s="303"/>
      <c r="E8" s="304">
        <v>11.96</v>
      </c>
      <c r="F8" s="305">
        <v>0</v>
      </c>
      <c r="G8" s="318"/>
    </row>
    <row r="9" spans="1:7" ht="30" customHeight="1" x14ac:dyDescent="0.25">
      <c r="A9" s="307"/>
      <c r="B9" s="301" t="s">
        <v>617</v>
      </c>
      <c r="C9" s="302" t="s">
        <v>2</v>
      </c>
      <c r="D9" s="303"/>
      <c r="E9" s="304">
        <v>34.25</v>
      </c>
      <c r="F9" s="305">
        <v>0</v>
      </c>
      <c r="G9" s="318"/>
    </row>
    <row r="10" spans="1:7" ht="30" customHeight="1" x14ac:dyDescent="0.25">
      <c r="A10" s="307"/>
      <c r="B10" s="301" t="s">
        <v>618</v>
      </c>
      <c r="C10" s="302" t="s">
        <v>2</v>
      </c>
      <c r="D10" s="303"/>
      <c r="E10" s="304">
        <v>6.04</v>
      </c>
      <c r="F10" s="305">
        <v>0</v>
      </c>
      <c r="G10" s="318"/>
    </row>
    <row r="11" spans="1:7" ht="96.75" x14ac:dyDescent="0.25">
      <c r="A11" s="189" t="s">
        <v>351</v>
      </c>
      <c r="B11" s="135" t="s">
        <v>79</v>
      </c>
      <c r="C11" s="116" t="s">
        <v>0</v>
      </c>
      <c r="D11" s="117"/>
      <c r="E11" s="150">
        <f>37.62</f>
        <v>37.619999999999997</v>
      </c>
      <c r="F11" s="151">
        <v>0</v>
      </c>
      <c r="G11" s="123">
        <f t="shared" ref="G11:G14" si="1">SUM(F11*E11)</f>
        <v>0</v>
      </c>
    </row>
    <row r="12" spans="1:7" ht="96.75" x14ac:dyDescent="0.25">
      <c r="A12" s="273" t="s">
        <v>352</v>
      </c>
      <c r="B12" s="135" t="s">
        <v>30</v>
      </c>
      <c r="C12" s="269" t="s">
        <v>2</v>
      </c>
      <c r="D12" s="270"/>
      <c r="E12" s="150">
        <v>4.056</v>
      </c>
      <c r="F12" s="151">
        <v>0</v>
      </c>
      <c r="G12" s="123">
        <f t="shared" si="1"/>
        <v>0</v>
      </c>
    </row>
    <row r="13" spans="1:7" ht="96.75" x14ac:dyDescent="0.25">
      <c r="A13" s="273" t="s">
        <v>347</v>
      </c>
      <c r="B13" s="135" t="s">
        <v>31</v>
      </c>
      <c r="C13" s="269" t="s">
        <v>2</v>
      </c>
      <c r="D13" s="270"/>
      <c r="E13" s="150">
        <v>15.768000000000001</v>
      </c>
      <c r="F13" s="151">
        <v>0</v>
      </c>
      <c r="G13" s="123">
        <f t="shared" si="1"/>
        <v>0</v>
      </c>
    </row>
    <row r="14" spans="1:7" ht="108.75" x14ac:dyDescent="0.25">
      <c r="A14" s="273" t="s">
        <v>353</v>
      </c>
      <c r="B14" s="135" t="s">
        <v>32</v>
      </c>
      <c r="C14" s="269" t="s">
        <v>2</v>
      </c>
      <c r="D14" s="270"/>
      <c r="E14" s="150">
        <v>14.92</v>
      </c>
      <c r="F14" s="151">
        <v>0</v>
      </c>
      <c r="G14" s="123">
        <f t="shared" si="1"/>
        <v>0</v>
      </c>
    </row>
    <row r="15" spans="1:7" ht="35.25" customHeight="1" x14ac:dyDescent="0.25">
      <c r="A15" s="307" t="s">
        <v>353</v>
      </c>
      <c r="B15" s="306" t="s">
        <v>624</v>
      </c>
      <c r="C15" s="302" t="s">
        <v>2</v>
      </c>
      <c r="D15" s="303"/>
      <c r="E15" s="304">
        <v>2.2599999999999998</v>
      </c>
      <c r="F15" s="305">
        <v>0</v>
      </c>
      <c r="G15" s="318">
        <f t="shared" ref="G15:G16" si="2">SUM(F15*E15)</f>
        <v>0</v>
      </c>
    </row>
    <row r="16" spans="1:7" ht="35.25" customHeight="1" x14ac:dyDescent="0.25">
      <c r="A16" s="273" t="s">
        <v>354</v>
      </c>
      <c r="B16" s="298" t="s">
        <v>34</v>
      </c>
      <c r="C16" s="269" t="s">
        <v>0</v>
      </c>
      <c r="D16" s="269"/>
      <c r="E16" s="299">
        <v>96.75</v>
      </c>
      <c r="F16" s="151">
        <v>0</v>
      </c>
      <c r="G16" s="123">
        <f t="shared" si="2"/>
        <v>0</v>
      </c>
    </row>
    <row r="17" spans="1:20" ht="156.75" x14ac:dyDescent="0.25">
      <c r="A17" s="273" t="s">
        <v>355</v>
      </c>
      <c r="B17" s="135" t="s">
        <v>38</v>
      </c>
      <c r="C17" s="269" t="s">
        <v>0</v>
      </c>
      <c r="D17" s="269"/>
      <c r="E17" s="150">
        <f>9.16/0.1</f>
        <v>91.6</v>
      </c>
      <c r="F17" s="151">
        <v>0</v>
      </c>
      <c r="G17" s="123">
        <f t="shared" ref="G17:G28" si="3">SUM(F17*E17)</f>
        <v>0</v>
      </c>
    </row>
    <row r="18" spans="1:20" ht="96.75" x14ac:dyDescent="0.25">
      <c r="A18" s="273" t="s">
        <v>356</v>
      </c>
      <c r="B18" s="135" t="s">
        <v>40</v>
      </c>
      <c r="C18" s="269"/>
      <c r="D18" s="269"/>
      <c r="E18" s="150"/>
      <c r="F18" s="151"/>
      <c r="G18" s="123"/>
    </row>
    <row r="19" spans="1:20" x14ac:dyDescent="0.25">
      <c r="A19" s="273" t="s">
        <v>430</v>
      </c>
      <c r="B19" s="135" t="s">
        <v>451</v>
      </c>
      <c r="C19" s="269" t="s">
        <v>3</v>
      </c>
      <c r="D19" s="269"/>
      <c r="E19" s="150">
        <v>0</v>
      </c>
      <c r="F19" s="151">
        <v>0</v>
      </c>
      <c r="G19" s="123">
        <f t="shared" si="3"/>
        <v>0</v>
      </c>
    </row>
    <row r="20" spans="1:20" x14ac:dyDescent="0.25">
      <c r="A20" s="273" t="s">
        <v>431</v>
      </c>
      <c r="B20" s="135" t="s">
        <v>452</v>
      </c>
      <c r="C20" s="269" t="s">
        <v>3</v>
      </c>
      <c r="D20" s="269"/>
      <c r="E20" s="150">
        <v>2</v>
      </c>
      <c r="F20" s="151">
        <v>0</v>
      </c>
      <c r="G20" s="123">
        <f t="shared" si="3"/>
        <v>0</v>
      </c>
    </row>
    <row r="21" spans="1:20" x14ac:dyDescent="0.25">
      <c r="A21" s="273" t="s">
        <v>432</v>
      </c>
      <c r="B21" s="135" t="s">
        <v>453</v>
      </c>
      <c r="C21" s="269" t="s">
        <v>3</v>
      </c>
      <c r="D21" s="270"/>
      <c r="E21" s="150">
        <f>1</f>
        <v>1</v>
      </c>
      <c r="F21" s="151">
        <v>0</v>
      </c>
      <c r="G21" s="123">
        <f t="shared" si="3"/>
        <v>0</v>
      </c>
    </row>
    <row r="22" spans="1:20" ht="96.75" x14ac:dyDescent="0.25">
      <c r="A22" s="273" t="s">
        <v>357</v>
      </c>
      <c r="B22" s="139" t="s">
        <v>39</v>
      </c>
      <c r="C22" s="269" t="s">
        <v>3</v>
      </c>
      <c r="D22" s="270"/>
      <c r="E22" s="150">
        <v>2</v>
      </c>
      <c r="F22" s="151">
        <v>0</v>
      </c>
      <c r="G22" s="123">
        <f>SUM(F22*E22)</f>
        <v>0</v>
      </c>
    </row>
    <row r="23" spans="1:20" ht="96.75" x14ac:dyDescent="0.25">
      <c r="A23" s="273" t="s">
        <v>358</v>
      </c>
      <c r="B23" s="135" t="s">
        <v>48</v>
      </c>
      <c r="C23" s="269" t="s">
        <v>0</v>
      </c>
      <c r="D23" s="270"/>
      <c r="E23" s="150">
        <f>22*0.7*1.5</f>
        <v>23.099999999999998</v>
      </c>
      <c r="F23" s="151">
        <v>0</v>
      </c>
      <c r="G23" s="123">
        <f>SUM(F23*E23)</f>
        <v>0</v>
      </c>
    </row>
    <row r="24" spans="1:20" ht="84.75" x14ac:dyDescent="0.25">
      <c r="A24" s="273" t="s">
        <v>359</v>
      </c>
      <c r="B24" s="139" t="s">
        <v>45</v>
      </c>
      <c r="C24" s="269" t="s">
        <v>0</v>
      </c>
      <c r="D24" s="270"/>
      <c r="E24" s="150">
        <v>0</v>
      </c>
      <c r="F24" s="151">
        <v>0</v>
      </c>
      <c r="G24" s="123">
        <f t="shared" si="3"/>
        <v>0</v>
      </c>
    </row>
    <row r="25" spans="1:20" ht="84.75" x14ac:dyDescent="0.25">
      <c r="A25" s="273" t="s">
        <v>360</v>
      </c>
      <c r="B25" s="135" t="s">
        <v>42</v>
      </c>
      <c r="C25" s="269" t="s">
        <v>0</v>
      </c>
      <c r="D25" s="270"/>
      <c r="E25" s="150">
        <f>E17*2+E16*2</f>
        <v>376.7</v>
      </c>
      <c r="F25" s="151">
        <v>0</v>
      </c>
      <c r="G25" s="123">
        <f>SUM(F25*E25)</f>
        <v>0</v>
      </c>
    </row>
    <row r="26" spans="1:20" ht="60.75" x14ac:dyDescent="0.25">
      <c r="A26" s="273" t="s">
        <v>361</v>
      </c>
      <c r="B26" s="135" t="s">
        <v>106</v>
      </c>
      <c r="C26" s="269" t="s">
        <v>0</v>
      </c>
      <c r="D26" s="270"/>
      <c r="E26" s="150">
        <v>112.2</v>
      </c>
      <c r="F26" s="151">
        <v>0</v>
      </c>
      <c r="G26" s="123">
        <f>SUM(F26*E26)</f>
        <v>0</v>
      </c>
    </row>
    <row r="27" spans="1:20" ht="72.75" x14ac:dyDescent="0.25">
      <c r="A27" s="273" t="s">
        <v>362</v>
      </c>
      <c r="B27" s="135" t="s">
        <v>41</v>
      </c>
      <c r="C27" s="269" t="s">
        <v>0</v>
      </c>
      <c r="D27" s="270"/>
      <c r="E27" s="150">
        <f>91.6*2/2.6*1.5</f>
        <v>105.69230769230768</v>
      </c>
      <c r="F27" s="151">
        <v>0</v>
      </c>
      <c r="G27" s="123">
        <f>SUM(F27*E27)</f>
        <v>0</v>
      </c>
    </row>
    <row r="28" spans="1:20" ht="60.75" x14ac:dyDescent="0.25">
      <c r="A28" s="273" t="s">
        <v>363</v>
      </c>
      <c r="B28" s="135" t="s">
        <v>37</v>
      </c>
      <c r="C28" s="269" t="s">
        <v>0</v>
      </c>
      <c r="D28" s="269"/>
      <c r="E28" s="150">
        <v>0</v>
      </c>
      <c r="F28" s="151">
        <v>0</v>
      </c>
      <c r="G28" s="123">
        <f t="shared" si="3"/>
        <v>0</v>
      </c>
    </row>
    <row r="29" spans="1:20" ht="120.75" x14ac:dyDescent="0.25">
      <c r="A29" s="273" t="s">
        <v>364</v>
      </c>
      <c r="B29" s="135" t="s">
        <v>35</v>
      </c>
      <c r="C29" s="269" t="s">
        <v>0</v>
      </c>
      <c r="D29" s="270"/>
      <c r="E29" s="150">
        <v>119.56</v>
      </c>
      <c r="F29" s="203">
        <v>0</v>
      </c>
      <c r="G29" s="123">
        <f>SUM(F29*E29)</f>
        <v>0</v>
      </c>
    </row>
    <row r="30" spans="1:20" ht="97.5" thickBot="1" x14ac:dyDescent="0.3">
      <c r="A30" s="273" t="s">
        <v>365</v>
      </c>
      <c r="B30" s="142" t="s">
        <v>49</v>
      </c>
      <c r="C30" s="288" t="s">
        <v>0</v>
      </c>
      <c r="D30" s="289"/>
      <c r="E30" s="196">
        <f>E29*1.04</f>
        <v>124.34240000000001</v>
      </c>
      <c r="F30" s="197">
        <v>0</v>
      </c>
      <c r="G30" s="198">
        <f>SUM(F30*E30)</f>
        <v>0</v>
      </c>
    </row>
    <row r="31" spans="1:20" s="8" customFormat="1" ht="181.5" thickTop="1" x14ac:dyDescent="0.25">
      <c r="A31" s="273" t="s">
        <v>366</v>
      </c>
      <c r="B31" s="258" t="s">
        <v>610</v>
      </c>
      <c r="C31" s="249" t="s">
        <v>80</v>
      </c>
      <c r="D31" s="249"/>
      <c r="E31" s="215">
        <v>1</v>
      </c>
      <c r="F31" s="216">
        <v>0</v>
      </c>
      <c r="G31" s="217">
        <f t="shared" ref="G31" si="4">SUM(F31*E31)</f>
        <v>0</v>
      </c>
    </row>
    <row r="32" spans="1:20" s="8" customFormat="1" ht="114.75" x14ac:dyDescent="0.25">
      <c r="A32" s="259"/>
      <c r="B32" s="140" t="s">
        <v>561</v>
      </c>
      <c r="C32" s="260" t="s">
        <v>95</v>
      </c>
      <c r="D32" s="260"/>
      <c r="E32" s="261">
        <v>31</v>
      </c>
      <c r="F32" s="262">
        <v>0</v>
      </c>
      <c r="G32" s="263"/>
      <c r="I32" s="222"/>
      <c r="J32" s="222"/>
      <c r="K32" s="222"/>
      <c r="L32" s="222"/>
      <c r="M32" s="222"/>
      <c r="N32" s="222"/>
      <c r="O32" s="222"/>
      <c r="P32" s="222"/>
      <c r="Q32" s="222"/>
      <c r="R32" s="222"/>
      <c r="S32" s="7"/>
      <c r="T32" s="7"/>
    </row>
    <row r="33" spans="1:20" s="8" customFormat="1" ht="114.75" x14ac:dyDescent="0.25">
      <c r="A33" s="259"/>
      <c r="B33" s="140" t="s">
        <v>503</v>
      </c>
      <c r="C33" s="260" t="s">
        <v>95</v>
      </c>
      <c r="D33" s="260"/>
      <c r="E33" s="261">
        <v>4</v>
      </c>
      <c r="F33" s="262">
        <v>0</v>
      </c>
      <c r="G33" s="263"/>
      <c r="I33" s="222"/>
      <c r="J33" s="222"/>
      <c r="K33" s="222"/>
      <c r="L33" s="222"/>
      <c r="M33" s="222"/>
      <c r="N33" s="222"/>
      <c r="O33" s="222"/>
      <c r="P33" s="222"/>
      <c r="Q33" s="222"/>
      <c r="R33" s="222"/>
      <c r="S33" s="7"/>
      <c r="T33" s="7"/>
    </row>
    <row r="34" spans="1:20" s="8" customFormat="1" ht="114.75" x14ac:dyDescent="0.25">
      <c r="A34" s="259"/>
      <c r="B34" s="140" t="s">
        <v>504</v>
      </c>
      <c r="C34" s="260" t="s">
        <v>95</v>
      </c>
      <c r="D34" s="260"/>
      <c r="E34" s="261">
        <v>11</v>
      </c>
      <c r="F34" s="262">
        <v>0</v>
      </c>
      <c r="G34" s="263"/>
      <c r="I34" s="222"/>
      <c r="J34" s="222"/>
      <c r="K34" s="222"/>
      <c r="L34" s="222"/>
      <c r="M34" s="222"/>
      <c r="N34" s="222"/>
      <c r="O34" s="222"/>
      <c r="P34" s="222"/>
      <c r="Q34" s="222"/>
      <c r="R34" s="222"/>
      <c r="S34" s="7"/>
      <c r="T34" s="7"/>
    </row>
    <row r="35" spans="1:20" s="8" customFormat="1" ht="51" x14ac:dyDescent="0.25">
      <c r="A35" s="259"/>
      <c r="B35" s="139" t="s">
        <v>511</v>
      </c>
      <c r="C35" s="260" t="s">
        <v>95</v>
      </c>
      <c r="D35" s="260"/>
      <c r="E35" s="261">
        <v>5</v>
      </c>
      <c r="F35" s="262">
        <v>0</v>
      </c>
      <c r="G35" s="263"/>
      <c r="I35" s="222"/>
      <c r="J35" s="222"/>
      <c r="K35" s="222"/>
      <c r="L35" s="222"/>
      <c r="M35" s="222"/>
      <c r="N35" s="222"/>
      <c r="O35" s="222"/>
      <c r="P35" s="222"/>
      <c r="Q35" s="222"/>
      <c r="R35" s="222"/>
      <c r="S35" s="7"/>
      <c r="T35" s="7"/>
    </row>
    <row r="36" spans="1:20" s="8" customFormat="1" ht="51" x14ac:dyDescent="0.25">
      <c r="A36" s="259"/>
      <c r="B36" s="139" t="s">
        <v>514</v>
      </c>
      <c r="C36" s="260" t="s">
        <v>95</v>
      </c>
      <c r="D36" s="260"/>
      <c r="E36" s="261">
        <v>2</v>
      </c>
      <c r="F36" s="262">
        <v>0</v>
      </c>
      <c r="G36" s="263"/>
      <c r="I36" s="222"/>
      <c r="J36" s="222"/>
      <c r="K36" s="222"/>
      <c r="L36" s="222"/>
      <c r="M36" s="222"/>
      <c r="N36" s="222"/>
      <c r="O36" s="222"/>
      <c r="P36" s="222"/>
      <c r="Q36" s="222"/>
      <c r="R36" s="222"/>
      <c r="S36" s="7"/>
      <c r="T36" s="7"/>
    </row>
    <row r="37" spans="1:20" s="8" customFormat="1" ht="25.5" x14ac:dyDescent="0.25">
      <c r="A37" s="259"/>
      <c r="B37" s="140" t="s">
        <v>507</v>
      </c>
      <c r="C37" s="260" t="s">
        <v>95</v>
      </c>
      <c r="D37" s="260"/>
      <c r="E37" s="261">
        <v>4</v>
      </c>
      <c r="F37" s="262">
        <v>0</v>
      </c>
      <c r="G37" s="263"/>
      <c r="I37" s="222"/>
      <c r="J37" s="222"/>
      <c r="K37" s="222"/>
      <c r="L37" s="222"/>
      <c r="M37" s="222"/>
      <c r="N37" s="222"/>
      <c r="O37" s="222"/>
      <c r="P37" s="222"/>
      <c r="Q37" s="222"/>
      <c r="R37" s="222"/>
      <c r="S37" s="7"/>
      <c r="T37" s="7"/>
    </row>
    <row r="38" spans="1:20" s="7" customFormat="1" ht="51" x14ac:dyDescent="0.25">
      <c r="A38" s="259"/>
      <c r="B38" s="140" t="s">
        <v>539</v>
      </c>
      <c r="C38" s="260" t="s">
        <v>80</v>
      </c>
      <c r="D38" s="260"/>
      <c r="E38" s="261">
        <v>1</v>
      </c>
      <c r="F38" s="262">
        <v>0</v>
      </c>
      <c r="G38" s="263"/>
      <c r="I38" s="222"/>
      <c r="J38" s="222"/>
      <c r="K38" s="222"/>
      <c r="L38" s="222"/>
      <c r="M38" s="222"/>
      <c r="N38" s="222"/>
      <c r="O38" s="222"/>
      <c r="P38" s="222"/>
      <c r="Q38" s="222"/>
      <c r="R38" s="222"/>
    </row>
    <row r="39" spans="1:20" s="7" customFormat="1" ht="76.5" x14ac:dyDescent="0.25">
      <c r="A39" s="259"/>
      <c r="B39" s="140" t="s">
        <v>542</v>
      </c>
      <c r="C39" s="260" t="s">
        <v>80</v>
      </c>
      <c r="D39" s="260"/>
      <c r="E39" s="261">
        <v>1</v>
      </c>
      <c r="F39" s="262">
        <v>0</v>
      </c>
      <c r="G39" s="263"/>
      <c r="I39" s="222"/>
      <c r="J39" s="222"/>
      <c r="K39" s="222"/>
      <c r="L39" s="222"/>
      <c r="M39" s="222"/>
      <c r="N39" s="222"/>
      <c r="O39" s="222"/>
      <c r="P39" s="222"/>
      <c r="Q39" s="222"/>
      <c r="R39" s="222"/>
    </row>
    <row r="40" spans="1:20" s="7" customFormat="1" ht="63.75" x14ac:dyDescent="0.25">
      <c r="A40" s="259"/>
      <c r="B40" s="139" t="s">
        <v>541</v>
      </c>
      <c r="C40" s="260" t="s">
        <v>95</v>
      </c>
      <c r="D40" s="260"/>
      <c r="E40" s="261">
        <v>1</v>
      </c>
      <c r="F40" s="262">
        <v>0</v>
      </c>
      <c r="G40" s="263"/>
      <c r="I40" s="222"/>
      <c r="J40" s="222"/>
      <c r="K40" s="222"/>
      <c r="L40" s="222"/>
      <c r="M40" s="222"/>
      <c r="N40" s="222"/>
      <c r="O40" s="222"/>
      <c r="P40" s="222"/>
      <c r="Q40" s="222"/>
      <c r="R40" s="222"/>
    </row>
    <row r="41" spans="1:20" s="7" customFormat="1" ht="16.5" x14ac:dyDescent="0.25">
      <c r="A41" s="259"/>
      <c r="B41" s="140" t="s">
        <v>506</v>
      </c>
      <c r="C41" s="260" t="s">
        <v>80</v>
      </c>
      <c r="D41" s="260"/>
      <c r="E41" s="261">
        <v>1</v>
      </c>
      <c r="F41" s="262">
        <v>0</v>
      </c>
      <c r="G41" s="263"/>
      <c r="I41" s="222"/>
      <c r="J41" s="222"/>
      <c r="K41" s="222"/>
      <c r="L41" s="222"/>
      <c r="M41" s="222"/>
      <c r="N41" s="222"/>
      <c r="O41" s="222"/>
      <c r="P41" s="222"/>
      <c r="Q41" s="222"/>
      <c r="R41" s="222"/>
    </row>
    <row r="42" spans="1:20" s="7" customFormat="1" ht="64.5" thickBot="1" x14ac:dyDescent="0.3">
      <c r="A42" s="259"/>
      <c r="B42" s="140" t="s">
        <v>515</v>
      </c>
      <c r="C42" s="260" t="s">
        <v>80</v>
      </c>
      <c r="D42" s="260"/>
      <c r="E42" s="261">
        <v>1</v>
      </c>
      <c r="F42" s="262">
        <v>0</v>
      </c>
      <c r="G42" s="263"/>
      <c r="I42" s="222"/>
      <c r="J42" s="222"/>
      <c r="K42" s="222"/>
      <c r="L42" s="222"/>
      <c r="M42" s="222"/>
      <c r="N42" s="222"/>
      <c r="O42" s="222"/>
      <c r="P42" s="222"/>
      <c r="Q42" s="222"/>
      <c r="R42" s="222"/>
    </row>
    <row r="43" spans="1:20" s="146" customFormat="1" ht="301.5" thickTop="1" x14ac:dyDescent="0.25">
      <c r="A43" s="273" t="s">
        <v>367</v>
      </c>
      <c r="B43" s="258" t="s">
        <v>611</v>
      </c>
      <c r="C43" s="249" t="s">
        <v>80</v>
      </c>
      <c r="D43" s="249"/>
      <c r="E43" s="215">
        <v>1</v>
      </c>
      <c r="F43" s="216">
        <v>0</v>
      </c>
      <c r="G43" s="217">
        <f>SUM(F43*E43)</f>
        <v>0</v>
      </c>
    </row>
    <row r="44" spans="1:20" s="7" customFormat="1" ht="16.5" x14ac:dyDescent="0.25">
      <c r="A44" s="259"/>
      <c r="B44" s="226" t="s">
        <v>531</v>
      </c>
      <c r="C44" s="260"/>
      <c r="D44" s="260"/>
      <c r="E44" s="261"/>
      <c r="F44" s="262"/>
      <c r="G44" s="263"/>
    </row>
    <row r="45" spans="1:20" s="8" customFormat="1" ht="63.75" x14ac:dyDescent="0.25">
      <c r="A45" s="259"/>
      <c r="B45" s="139" t="s">
        <v>530</v>
      </c>
      <c r="C45" s="260" t="s">
        <v>516</v>
      </c>
      <c r="D45" s="260"/>
      <c r="E45" s="261">
        <v>190</v>
      </c>
      <c r="F45" s="262">
        <v>0</v>
      </c>
      <c r="G45" s="263">
        <f t="shared" ref="G45:G47" si="5">E45*F45</f>
        <v>0</v>
      </c>
      <c r="I45" s="7"/>
      <c r="J45" s="7"/>
      <c r="K45" s="7"/>
      <c r="L45" s="7"/>
      <c r="M45" s="7"/>
      <c r="N45" s="7"/>
      <c r="O45" s="7"/>
      <c r="P45" s="7"/>
      <c r="Q45" s="7"/>
      <c r="R45" s="7"/>
      <c r="S45" s="7"/>
      <c r="T45" s="7"/>
    </row>
    <row r="46" spans="1:20" s="8" customFormat="1" ht="38.25" x14ac:dyDescent="0.25">
      <c r="A46" s="259"/>
      <c r="B46" s="139" t="s">
        <v>527</v>
      </c>
      <c r="C46" s="260" t="s">
        <v>80</v>
      </c>
      <c r="D46" s="260"/>
      <c r="E46" s="261">
        <v>1</v>
      </c>
      <c r="F46" s="262">
        <v>0</v>
      </c>
      <c r="G46" s="263">
        <f t="shared" si="5"/>
        <v>0</v>
      </c>
      <c r="I46" s="7"/>
      <c r="J46" s="7"/>
      <c r="K46" s="7"/>
      <c r="L46" s="7"/>
      <c r="M46" s="7"/>
      <c r="N46" s="7"/>
      <c r="O46" s="7"/>
      <c r="P46" s="7"/>
      <c r="Q46" s="7"/>
      <c r="R46" s="7"/>
      <c r="S46" s="7"/>
      <c r="T46" s="7"/>
    </row>
    <row r="47" spans="1:20" s="8" customFormat="1" ht="16.5" x14ac:dyDescent="0.25">
      <c r="A47" s="259"/>
      <c r="B47" s="140" t="s">
        <v>526</v>
      </c>
      <c r="C47" s="260" t="s">
        <v>80</v>
      </c>
      <c r="D47" s="260"/>
      <c r="E47" s="261">
        <v>1</v>
      </c>
      <c r="F47" s="262">
        <v>0</v>
      </c>
      <c r="G47" s="263">
        <f t="shared" si="5"/>
        <v>0</v>
      </c>
      <c r="I47" s="7"/>
      <c r="J47" s="7"/>
      <c r="K47" s="7"/>
      <c r="L47" s="7"/>
      <c r="M47" s="7"/>
      <c r="N47" s="7"/>
      <c r="O47" s="7"/>
      <c r="P47" s="7"/>
      <c r="Q47" s="7"/>
      <c r="R47" s="7"/>
      <c r="S47" s="7"/>
      <c r="T47" s="7"/>
    </row>
    <row r="48" spans="1:20" s="7" customFormat="1" ht="16.5" x14ac:dyDescent="0.25">
      <c r="A48" s="259"/>
      <c r="B48" s="226" t="s">
        <v>517</v>
      </c>
      <c r="C48" s="260"/>
      <c r="D48" s="260"/>
      <c r="E48" s="261"/>
      <c r="F48" s="262"/>
      <c r="G48" s="263"/>
    </row>
    <row r="49" spans="1:7" s="7" customFormat="1" ht="25.5" x14ac:dyDescent="0.25">
      <c r="A49" s="259"/>
      <c r="B49" s="140" t="s">
        <v>528</v>
      </c>
      <c r="C49" s="260" t="s">
        <v>95</v>
      </c>
      <c r="D49" s="260"/>
      <c r="E49" s="261">
        <v>16</v>
      </c>
      <c r="F49" s="262">
        <v>0</v>
      </c>
      <c r="G49" s="263">
        <f t="shared" ref="G49:G60" si="6">E49*F49</f>
        <v>0</v>
      </c>
    </row>
    <row r="50" spans="1:7" s="8" customFormat="1" ht="25.5" x14ac:dyDescent="0.25">
      <c r="A50" s="268"/>
      <c r="B50" s="139" t="s">
        <v>529</v>
      </c>
      <c r="C50" s="260" t="s">
        <v>95</v>
      </c>
      <c r="D50" s="260"/>
      <c r="E50" s="261">
        <v>2</v>
      </c>
      <c r="F50" s="262">
        <v>0</v>
      </c>
      <c r="G50" s="263">
        <f t="shared" si="6"/>
        <v>0</v>
      </c>
    </row>
    <row r="51" spans="1:7" s="7" customFormat="1" ht="25.5" x14ac:dyDescent="0.25">
      <c r="A51" s="259"/>
      <c r="B51" s="140" t="s">
        <v>550</v>
      </c>
      <c r="C51" s="260" t="s">
        <v>95</v>
      </c>
      <c r="D51" s="260"/>
      <c r="E51" s="261">
        <v>4</v>
      </c>
      <c r="F51" s="262">
        <v>0</v>
      </c>
      <c r="G51" s="263">
        <f t="shared" si="6"/>
        <v>0</v>
      </c>
    </row>
    <row r="52" spans="1:7" s="7" customFormat="1" ht="25.5" x14ac:dyDescent="0.25">
      <c r="A52" s="259"/>
      <c r="B52" s="140" t="s">
        <v>570</v>
      </c>
      <c r="C52" s="260" t="s">
        <v>95</v>
      </c>
      <c r="D52" s="260"/>
      <c r="E52" s="261">
        <v>2</v>
      </c>
      <c r="F52" s="262">
        <v>0</v>
      </c>
      <c r="G52" s="263">
        <f t="shared" ref="G52" si="7">E52*F52</f>
        <v>0</v>
      </c>
    </row>
    <row r="53" spans="1:7" s="7" customFormat="1" ht="25.5" x14ac:dyDescent="0.25">
      <c r="A53" s="259"/>
      <c r="B53" s="140" t="s">
        <v>571</v>
      </c>
      <c r="C53" s="260" t="s">
        <v>95</v>
      </c>
      <c r="D53" s="260"/>
      <c r="E53" s="261">
        <v>12</v>
      </c>
      <c r="F53" s="262">
        <v>0</v>
      </c>
      <c r="G53" s="263">
        <f t="shared" ref="G53" si="8">E53*F53</f>
        <v>0</v>
      </c>
    </row>
    <row r="54" spans="1:7" s="8" customFormat="1" ht="38.25" x14ac:dyDescent="0.25">
      <c r="A54" s="268"/>
      <c r="B54" s="139" t="s">
        <v>524</v>
      </c>
      <c r="C54" s="260" t="s">
        <v>95</v>
      </c>
      <c r="D54" s="260"/>
      <c r="E54" s="261">
        <v>6</v>
      </c>
      <c r="F54" s="262">
        <v>0</v>
      </c>
      <c r="G54" s="263">
        <f t="shared" si="6"/>
        <v>0</v>
      </c>
    </row>
    <row r="55" spans="1:7" s="8" customFormat="1" ht="25.5" x14ac:dyDescent="0.25">
      <c r="A55" s="268"/>
      <c r="B55" s="139" t="s">
        <v>521</v>
      </c>
      <c r="C55" s="260" t="s">
        <v>95</v>
      </c>
      <c r="D55" s="260"/>
      <c r="E55" s="261">
        <v>2</v>
      </c>
      <c r="F55" s="262">
        <v>0</v>
      </c>
      <c r="G55" s="263">
        <f t="shared" si="6"/>
        <v>0</v>
      </c>
    </row>
    <row r="56" spans="1:7" s="8" customFormat="1" ht="25.5" x14ac:dyDescent="0.25">
      <c r="A56" s="268"/>
      <c r="B56" s="139" t="s">
        <v>569</v>
      </c>
      <c r="C56" s="260" t="s">
        <v>95</v>
      </c>
      <c r="D56" s="260"/>
      <c r="E56" s="261">
        <v>12</v>
      </c>
      <c r="F56" s="262">
        <v>0</v>
      </c>
      <c r="G56" s="263">
        <f t="shared" ref="G56:G58" si="9">E56*F56</f>
        <v>0</v>
      </c>
    </row>
    <row r="57" spans="1:7" s="8" customFormat="1" ht="25.5" x14ac:dyDescent="0.25">
      <c r="A57" s="268"/>
      <c r="B57" s="139" t="s">
        <v>522</v>
      </c>
      <c r="C57" s="260" t="s">
        <v>95</v>
      </c>
      <c r="D57" s="260"/>
      <c r="E57" s="261">
        <v>10</v>
      </c>
      <c r="F57" s="262">
        <v>0</v>
      </c>
      <c r="G57" s="263">
        <f t="shared" si="9"/>
        <v>0</v>
      </c>
    </row>
    <row r="58" spans="1:7" s="8" customFormat="1" ht="38.25" x14ac:dyDescent="0.25">
      <c r="A58" s="268"/>
      <c r="B58" s="139" t="s">
        <v>574</v>
      </c>
      <c r="C58" s="260" t="s">
        <v>95</v>
      </c>
      <c r="D58" s="260"/>
      <c r="E58" s="261">
        <v>4</v>
      </c>
      <c r="F58" s="262">
        <v>0</v>
      </c>
      <c r="G58" s="263">
        <f t="shared" si="9"/>
        <v>0</v>
      </c>
    </row>
    <row r="59" spans="1:7" s="8" customFormat="1" ht="51" x14ac:dyDescent="0.25">
      <c r="A59" s="268"/>
      <c r="B59" s="139" t="s">
        <v>525</v>
      </c>
      <c r="C59" s="260" t="s">
        <v>95</v>
      </c>
      <c r="D59" s="260"/>
      <c r="E59" s="261">
        <v>2</v>
      </c>
      <c r="F59" s="262">
        <v>0</v>
      </c>
      <c r="G59" s="263">
        <f t="shared" si="6"/>
        <v>0</v>
      </c>
    </row>
    <row r="60" spans="1:7" s="8" customFormat="1" ht="76.5" x14ac:dyDescent="0.25">
      <c r="A60" s="268"/>
      <c r="B60" s="139" t="s">
        <v>538</v>
      </c>
      <c r="C60" s="260" t="s">
        <v>95</v>
      </c>
      <c r="D60" s="260"/>
      <c r="E60" s="261">
        <v>16</v>
      </c>
      <c r="F60" s="262">
        <v>0</v>
      </c>
      <c r="G60" s="263">
        <f t="shared" si="6"/>
        <v>0</v>
      </c>
    </row>
    <row r="61" spans="1:7" s="8" customFormat="1" ht="16.5" x14ac:dyDescent="0.25">
      <c r="A61" s="268"/>
      <c r="B61" s="226" t="s">
        <v>518</v>
      </c>
      <c r="C61" s="260"/>
      <c r="D61" s="260"/>
      <c r="E61" s="261"/>
      <c r="F61" s="262"/>
      <c r="G61" s="263"/>
    </row>
    <row r="62" spans="1:7" s="8" customFormat="1" ht="51" x14ac:dyDescent="0.25">
      <c r="A62" s="268"/>
      <c r="B62" s="139" t="s">
        <v>572</v>
      </c>
      <c r="C62" s="260" t="s">
        <v>516</v>
      </c>
      <c r="D62" s="260"/>
      <c r="E62" s="261">
        <v>30</v>
      </c>
      <c r="F62" s="262">
        <v>0</v>
      </c>
      <c r="G62" s="263">
        <f t="shared" ref="G62:G63" si="10">E62*F62</f>
        <v>0</v>
      </c>
    </row>
    <row r="63" spans="1:7" s="8" customFormat="1" ht="51" x14ac:dyDescent="0.25">
      <c r="A63" s="268"/>
      <c r="B63" s="139" t="s">
        <v>573</v>
      </c>
      <c r="C63" s="260" t="s">
        <v>516</v>
      </c>
      <c r="D63" s="260"/>
      <c r="E63" s="261">
        <v>60</v>
      </c>
      <c r="F63" s="262">
        <v>0</v>
      </c>
      <c r="G63" s="263">
        <f t="shared" si="10"/>
        <v>0</v>
      </c>
    </row>
    <row r="64" spans="1:7" s="8" customFormat="1" ht="51" x14ac:dyDescent="0.25">
      <c r="A64" s="268"/>
      <c r="B64" s="139" t="s">
        <v>532</v>
      </c>
      <c r="C64" s="260" t="s">
        <v>516</v>
      </c>
      <c r="D64" s="260"/>
      <c r="E64" s="261">
        <v>100</v>
      </c>
      <c r="F64" s="262">
        <v>0</v>
      </c>
      <c r="G64" s="263">
        <f t="shared" ref="G64:G68" si="11">E64*F64</f>
        <v>0</v>
      </c>
    </row>
    <row r="65" spans="1:7" s="8" customFormat="1" ht="51" x14ac:dyDescent="0.25">
      <c r="A65" s="268"/>
      <c r="B65" s="139" t="s">
        <v>533</v>
      </c>
      <c r="C65" s="260" t="s">
        <v>516</v>
      </c>
      <c r="D65" s="260"/>
      <c r="E65" s="261">
        <v>40</v>
      </c>
      <c r="F65" s="262">
        <v>0</v>
      </c>
      <c r="G65" s="263">
        <f t="shared" si="11"/>
        <v>0</v>
      </c>
    </row>
    <row r="66" spans="1:7" s="8" customFormat="1" ht="51" x14ac:dyDescent="0.25">
      <c r="A66" s="268"/>
      <c r="B66" s="139" t="s">
        <v>534</v>
      </c>
      <c r="C66" s="260" t="s">
        <v>516</v>
      </c>
      <c r="D66" s="260"/>
      <c r="E66" s="261">
        <v>30</v>
      </c>
      <c r="F66" s="262">
        <v>0</v>
      </c>
      <c r="G66" s="263">
        <f t="shared" si="11"/>
        <v>0</v>
      </c>
    </row>
    <row r="67" spans="1:7" s="8" customFormat="1" ht="38.25" x14ac:dyDescent="0.25">
      <c r="A67" s="268"/>
      <c r="B67" s="139" t="s">
        <v>527</v>
      </c>
      <c r="C67" s="260" t="s">
        <v>80</v>
      </c>
      <c r="D67" s="260"/>
      <c r="E67" s="261">
        <v>1</v>
      </c>
      <c r="F67" s="262">
        <v>0</v>
      </c>
      <c r="G67" s="263">
        <f t="shared" si="11"/>
        <v>0</v>
      </c>
    </row>
    <row r="68" spans="1:7" s="8" customFormat="1" ht="16.5" x14ac:dyDescent="0.25">
      <c r="A68" s="268"/>
      <c r="B68" s="140" t="s">
        <v>526</v>
      </c>
      <c r="C68" s="260" t="s">
        <v>80</v>
      </c>
      <c r="D68" s="260"/>
      <c r="E68" s="261">
        <v>1</v>
      </c>
      <c r="F68" s="262">
        <v>0</v>
      </c>
      <c r="G68" s="263">
        <f t="shared" si="11"/>
        <v>0</v>
      </c>
    </row>
    <row r="69" spans="1:7" s="8" customFormat="1" ht="16.5" x14ac:dyDescent="0.25">
      <c r="A69" s="268"/>
      <c r="B69" s="226" t="s">
        <v>519</v>
      </c>
      <c r="C69" s="260"/>
      <c r="D69" s="260"/>
      <c r="E69" s="261"/>
      <c r="F69" s="262"/>
      <c r="G69" s="263"/>
    </row>
    <row r="70" spans="1:7" s="8" customFormat="1" ht="38.25" x14ac:dyDescent="0.25">
      <c r="A70" s="268"/>
      <c r="B70" s="139" t="s">
        <v>540</v>
      </c>
      <c r="C70" s="260" t="s">
        <v>516</v>
      </c>
      <c r="D70" s="260"/>
      <c r="E70" s="261">
        <f>10*3+19.5*2+6.1*2</f>
        <v>81.2</v>
      </c>
      <c r="F70" s="262">
        <v>0</v>
      </c>
      <c r="G70" s="263">
        <f t="shared" ref="G70:G74" si="12">E70*F70</f>
        <v>0</v>
      </c>
    </row>
    <row r="71" spans="1:7" s="8" customFormat="1" ht="38.25" x14ac:dyDescent="0.25">
      <c r="A71" s="268"/>
      <c r="B71" s="139" t="s">
        <v>527</v>
      </c>
      <c r="C71" s="260" t="s">
        <v>80</v>
      </c>
      <c r="D71" s="260"/>
      <c r="E71" s="261">
        <v>1</v>
      </c>
      <c r="F71" s="262">
        <v>0</v>
      </c>
      <c r="G71" s="263">
        <f t="shared" si="12"/>
        <v>0</v>
      </c>
    </row>
    <row r="72" spans="1:7" s="8" customFormat="1" ht="16.5" x14ac:dyDescent="0.25">
      <c r="A72" s="268"/>
      <c r="B72" s="139" t="s">
        <v>520</v>
      </c>
      <c r="C72" s="260" t="s">
        <v>95</v>
      </c>
      <c r="D72" s="260"/>
      <c r="E72" s="261">
        <f>10*3</f>
        <v>30</v>
      </c>
      <c r="F72" s="262">
        <v>0</v>
      </c>
      <c r="G72" s="263">
        <f t="shared" si="12"/>
        <v>0</v>
      </c>
    </row>
    <row r="73" spans="1:7" s="8" customFormat="1" ht="16.5" x14ac:dyDescent="0.25">
      <c r="A73" s="268"/>
      <c r="B73" s="139" t="s">
        <v>535</v>
      </c>
      <c r="C73" s="260" t="s">
        <v>95</v>
      </c>
      <c r="D73" s="260"/>
      <c r="E73" s="261">
        <f>19.5*2+6.1*2</f>
        <v>51.2</v>
      </c>
      <c r="F73" s="262">
        <v>0</v>
      </c>
      <c r="G73" s="263">
        <f t="shared" si="12"/>
        <v>0</v>
      </c>
    </row>
    <row r="74" spans="1:7" s="8" customFormat="1" ht="17.25" thickBot="1" x14ac:dyDescent="0.3">
      <c r="A74" s="268"/>
      <c r="B74" s="140" t="s">
        <v>526</v>
      </c>
      <c r="C74" s="260" t="s">
        <v>80</v>
      </c>
      <c r="D74" s="260"/>
      <c r="E74" s="261">
        <v>1</v>
      </c>
      <c r="F74" s="262">
        <v>0</v>
      </c>
      <c r="G74" s="263">
        <f t="shared" si="12"/>
        <v>0</v>
      </c>
    </row>
    <row r="75" spans="1:7" ht="15.75" thickTop="1" x14ac:dyDescent="0.25">
      <c r="A75" s="273" t="s">
        <v>484</v>
      </c>
      <c r="B75" s="227" t="s">
        <v>438</v>
      </c>
      <c r="C75" s="249"/>
      <c r="D75" s="249"/>
      <c r="E75" s="250"/>
      <c r="F75" s="251"/>
      <c r="G75" s="291"/>
    </row>
    <row r="76" spans="1:7" x14ac:dyDescent="0.25">
      <c r="A76" s="273" t="s">
        <v>485</v>
      </c>
      <c r="B76" s="290" t="s">
        <v>14</v>
      </c>
      <c r="C76" s="164" t="s">
        <v>12</v>
      </c>
      <c r="D76" s="164"/>
      <c r="E76" s="292">
        <v>1</v>
      </c>
      <c r="F76" s="293">
        <v>0</v>
      </c>
      <c r="G76" s="294">
        <f>E76*F76</f>
        <v>0</v>
      </c>
    </row>
    <row r="77" spans="1:7" ht="15.75" thickBot="1" x14ac:dyDescent="0.3">
      <c r="A77" s="189" t="s">
        <v>486</v>
      </c>
      <c r="B77" s="49" t="s">
        <v>13</v>
      </c>
      <c r="C77" s="157" t="s">
        <v>12</v>
      </c>
      <c r="D77" s="157"/>
      <c r="E77" s="158">
        <v>3</v>
      </c>
      <c r="F77" s="159">
        <v>0</v>
      </c>
      <c r="G77" s="160">
        <f>E77*F77</f>
        <v>0</v>
      </c>
    </row>
    <row r="78" spans="1:7" ht="16.5" thickTop="1" thickBot="1" x14ac:dyDescent="0.3">
      <c r="A78" s="186"/>
      <c r="B78" s="51"/>
      <c r="C78" s="52"/>
      <c r="D78" s="52"/>
      <c r="E78" s="97"/>
      <c r="F78" s="98"/>
      <c r="G78" s="99">
        <f>SUM(G11:G77)</f>
        <v>0</v>
      </c>
    </row>
    <row r="79" spans="1:7" ht="15.75" thickTop="1" x14ac:dyDescent="0.25"/>
  </sheetData>
  <mergeCells count="2">
    <mergeCell ref="A3:B3"/>
    <mergeCell ref="A1:G1"/>
  </mergeCells>
  <printOptions horizontalCentered="1"/>
  <pageMargins left="0.39370078740157483" right="0.39370078740157483" top="0.39370078740157483" bottom="0.59055118110236227" header="0.31496062992125984" footer="0.31496062992125984"/>
  <pageSetup paperSize="9" orientation="landscape" r:id="rId1"/>
  <headerFooter>
    <oddFooter>&amp;L&amp;8CONCEPTION ET ADAPTATION ARCHITECTURALE-STRUCTURALE DES PLAN TYPES DE CENTRES PUBLICS DE FORMATION PROFESSIONNELLE ET D’ETUDES TECHNIQUES EN VUE DE LA CONSTRUCTION DU CENTRE PROFESSIONNELLE DES CAYES</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1274" r:id="rId4" name="Check Box 10">
              <controlPr defaultSize="0" autoFill="0" autoLine="0" autoPict="0">
                <anchor moveWithCells="1">
                  <from>
                    <xdr:col>7</xdr:col>
                    <xdr:colOff>0</xdr:colOff>
                    <xdr:row>16</xdr:row>
                    <xdr:rowOff>0</xdr:rowOff>
                  </from>
                  <to>
                    <xdr:col>7</xdr:col>
                    <xdr:colOff>276225</xdr:colOff>
                    <xdr:row>17</xdr:row>
                    <xdr:rowOff>38100</xdr:rowOff>
                  </to>
                </anchor>
              </controlPr>
            </control>
          </mc:Choice>
        </mc:AlternateContent>
      </controls>
    </mc:Choice>
  </mc:AlternateConten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7030A0"/>
  </sheetPr>
  <dimension ref="A1:T85"/>
  <sheetViews>
    <sheetView zoomScaleNormal="100" workbookViewId="0">
      <selection activeCell="E20" sqref="E20"/>
    </sheetView>
  </sheetViews>
  <sheetFormatPr defaultColWidth="11.5703125" defaultRowHeight="15" x14ac:dyDescent="0.25"/>
  <cols>
    <col min="1" max="1" width="5.7109375" style="181" customWidth="1"/>
    <col min="2" max="2" width="85.42578125" style="22" customWidth="1"/>
    <col min="3" max="3" width="8.28515625" bestFit="1" customWidth="1"/>
    <col min="4" max="4" width="3.7109375" customWidth="1"/>
    <col min="5" max="5" width="10" style="92" customWidth="1"/>
    <col min="6" max="6" width="10" style="93" customWidth="1"/>
    <col min="7" max="7" width="15" style="92" customWidth="1"/>
    <col min="8" max="11" width="11.5703125" customWidth="1"/>
  </cols>
  <sheetData>
    <row r="1" spans="1:8" ht="33.950000000000003" customHeight="1" thickTop="1" thickBot="1" x14ac:dyDescent="0.3">
      <c r="A1" s="356" t="s">
        <v>77</v>
      </c>
      <c r="B1" s="357"/>
      <c r="C1" s="357"/>
      <c r="D1" s="357"/>
      <c r="E1" s="357"/>
      <c r="F1" s="357"/>
      <c r="G1" s="358"/>
    </row>
    <row r="2" spans="1:8" ht="16.5" thickTop="1" thickBot="1" x14ac:dyDescent="0.3">
      <c r="C2" s="1" t="s">
        <v>615</v>
      </c>
      <c r="D2" s="1"/>
      <c r="E2" s="92" t="s">
        <v>4</v>
      </c>
      <c r="F2" s="93" t="s">
        <v>5</v>
      </c>
      <c r="G2" s="92" t="s">
        <v>6</v>
      </c>
    </row>
    <row r="3" spans="1:8" ht="16.5" thickTop="1" thickBot="1" x14ac:dyDescent="0.3">
      <c r="A3" s="354" t="s">
        <v>22</v>
      </c>
      <c r="B3" s="355"/>
      <c r="C3" s="53">
        <f>88.13+(29.61*50%)</f>
        <v>102.935</v>
      </c>
      <c r="D3" s="54" t="s">
        <v>0</v>
      </c>
      <c r="E3" s="94"/>
      <c r="F3" s="95"/>
      <c r="G3" s="96">
        <f>G84/C3</f>
        <v>0</v>
      </c>
    </row>
    <row r="4" spans="1:8" ht="36" customHeight="1" thickTop="1" x14ac:dyDescent="0.25">
      <c r="A4" s="188" t="s">
        <v>368</v>
      </c>
      <c r="B4" s="297" t="s">
        <v>99</v>
      </c>
      <c r="C4" s="200" t="s">
        <v>2</v>
      </c>
      <c r="D4" s="201"/>
      <c r="E4" s="319">
        <v>236.7</v>
      </c>
      <c r="F4" s="192">
        <v>0</v>
      </c>
      <c r="G4" s="193">
        <f t="shared" ref="G4:G6" si="0">SUM(F4*E4)</f>
        <v>0</v>
      </c>
      <c r="H4" t="s">
        <v>626</v>
      </c>
    </row>
    <row r="5" spans="1:8" ht="36" customHeight="1" x14ac:dyDescent="0.25">
      <c r="A5" s="189" t="s">
        <v>369</v>
      </c>
      <c r="B5" s="298" t="s">
        <v>490</v>
      </c>
      <c r="C5" s="116" t="s">
        <v>2</v>
      </c>
      <c r="D5" s="117"/>
      <c r="E5" s="299">
        <v>111.24</v>
      </c>
      <c r="F5" s="151">
        <v>0</v>
      </c>
      <c r="G5" s="123">
        <f t="shared" si="0"/>
        <v>0</v>
      </c>
    </row>
    <row r="6" spans="1:8" ht="36" customHeight="1" x14ac:dyDescent="0.25">
      <c r="A6" s="189" t="s">
        <v>370</v>
      </c>
      <c r="B6" s="298" t="s">
        <v>29</v>
      </c>
      <c r="C6" s="116" t="s">
        <v>2</v>
      </c>
      <c r="D6" s="117"/>
      <c r="E6" s="299">
        <v>7.8</v>
      </c>
      <c r="F6" s="151">
        <v>0</v>
      </c>
      <c r="G6" s="123">
        <f t="shared" si="0"/>
        <v>0</v>
      </c>
    </row>
    <row r="7" spans="1:8" ht="36" customHeight="1" x14ac:dyDescent="0.25">
      <c r="A7" s="189" t="s">
        <v>371</v>
      </c>
      <c r="B7" s="300" t="s">
        <v>98</v>
      </c>
      <c r="C7" s="116" t="s">
        <v>2</v>
      </c>
      <c r="D7" s="117"/>
      <c r="E7" s="299">
        <v>45.28</v>
      </c>
      <c r="F7" s="151">
        <v>0</v>
      </c>
      <c r="G7" s="123">
        <f t="shared" ref="G7" si="1">SUM(F7*E7)</f>
        <v>0</v>
      </c>
    </row>
    <row r="8" spans="1:8" ht="30" customHeight="1" x14ac:dyDescent="0.25">
      <c r="A8" s="307"/>
      <c r="B8" s="301" t="s">
        <v>616</v>
      </c>
      <c r="C8" s="302" t="s">
        <v>2</v>
      </c>
      <c r="D8" s="303"/>
      <c r="E8" s="304">
        <v>8.9700000000000006</v>
      </c>
      <c r="F8" s="305">
        <v>0</v>
      </c>
      <c r="G8" s="318"/>
    </row>
    <row r="9" spans="1:8" ht="30" customHeight="1" x14ac:dyDescent="0.25">
      <c r="A9" s="307"/>
      <c r="B9" s="301" t="s">
        <v>617</v>
      </c>
      <c r="C9" s="302" t="s">
        <v>2</v>
      </c>
      <c r="D9" s="303"/>
      <c r="E9" s="304">
        <v>26.46</v>
      </c>
      <c r="F9" s="305">
        <v>0</v>
      </c>
      <c r="G9" s="318"/>
    </row>
    <row r="10" spans="1:8" ht="30" customHeight="1" x14ac:dyDescent="0.25">
      <c r="A10" s="307"/>
      <c r="B10" s="301" t="s">
        <v>618</v>
      </c>
      <c r="C10" s="302" t="s">
        <v>2</v>
      </c>
      <c r="D10" s="303"/>
      <c r="E10" s="304">
        <v>4.68</v>
      </c>
      <c r="F10" s="305">
        <v>0</v>
      </c>
      <c r="G10" s="318"/>
    </row>
    <row r="11" spans="1:8" ht="96.75" x14ac:dyDescent="0.25">
      <c r="A11" s="189" t="s">
        <v>372</v>
      </c>
      <c r="B11" s="135" t="s">
        <v>30</v>
      </c>
      <c r="C11" s="116" t="s">
        <v>2</v>
      </c>
      <c r="D11" s="117"/>
      <c r="E11" s="150">
        <v>4.056</v>
      </c>
      <c r="F11" s="151">
        <v>0</v>
      </c>
      <c r="G11" s="123">
        <f t="shared" ref="G11:G14" si="2">SUM(F11*E11)</f>
        <v>0</v>
      </c>
    </row>
    <row r="12" spans="1:8" ht="96.75" x14ac:dyDescent="0.25">
      <c r="A12" s="189" t="s">
        <v>373</v>
      </c>
      <c r="B12" s="135" t="s">
        <v>31</v>
      </c>
      <c r="C12" s="116" t="s">
        <v>2</v>
      </c>
      <c r="D12" s="117"/>
      <c r="E12" s="150">
        <v>12.24</v>
      </c>
      <c r="F12" s="151">
        <v>0</v>
      </c>
      <c r="G12" s="123">
        <f t="shared" si="2"/>
        <v>0</v>
      </c>
    </row>
    <row r="13" spans="1:8" ht="108.75" x14ac:dyDescent="0.25">
      <c r="A13" s="189" t="s">
        <v>374</v>
      </c>
      <c r="B13" s="135" t="s">
        <v>32</v>
      </c>
      <c r="C13" s="116" t="s">
        <v>2</v>
      </c>
      <c r="D13" s="117"/>
      <c r="E13" s="150">
        <v>12.077500000000001</v>
      </c>
      <c r="F13" s="151">
        <v>0</v>
      </c>
      <c r="G13" s="123">
        <f t="shared" si="2"/>
        <v>0</v>
      </c>
    </row>
    <row r="14" spans="1:8" ht="144.75" x14ac:dyDescent="0.25">
      <c r="A14" s="189" t="s">
        <v>375</v>
      </c>
      <c r="B14" s="135" t="s">
        <v>34</v>
      </c>
      <c r="C14" s="116" t="s">
        <v>0</v>
      </c>
      <c r="D14" s="116"/>
      <c r="E14" s="150">
        <f>(20.956/0.2)</f>
        <v>104.77999999999999</v>
      </c>
      <c r="F14" s="151">
        <v>0</v>
      </c>
      <c r="G14" s="123">
        <f t="shared" si="2"/>
        <v>0</v>
      </c>
    </row>
    <row r="15" spans="1:8" ht="156.75" x14ac:dyDescent="0.25">
      <c r="A15" s="189" t="s">
        <v>376</v>
      </c>
      <c r="B15" s="135" t="s">
        <v>38</v>
      </c>
      <c r="C15" s="116" t="s">
        <v>0</v>
      </c>
      <c r="D15" s="116"/>
      <c r="E15" s="150">
        <v>19.55</v>
      </c>
      <c r="F15" s="151">
        <v>0</v>
      </c>
      <c r="G15" s="123">
        <f t="shared" ref="G15:G22" si="3">SUM(F15*E15)</f>
        <v>0</v>
      </c>
    </row>
    <row r="16" spans="1:8" ht="96.75" x14ac:dyDescent="0.25">
      <c r="A16" s="189" t="s">
        <v>377</v>
      </c>
      <c r="B16" s="135" t="s">
        <v>40</v>
      </c>
      <c r="C16" s="116"/>
      <c r="D16" s="116"/>
      <c r="E16" s="150"/>
      <c r="F16" s="151"/>
      <c r="G16" s="123"/>
    </row>
    <row r="17" spans="1:20" x14ac:dyDescent="0.25">
      <c r="A17" s="189" t="s">
        <v>433</v>
      </c>
      <c r="B17" s="135" t="s">
        <v>451</v>
      </c>
      <c r="C17" s="116" t="s">
        <v>3</v>
      </c>
      <c r="D17" s="116"/>
      <c r="E17" s="150">
        <v>1</v>
      </c>
      <c r="F17" s="151">
        <v>0</v>
      </c>
      <c r="G17" s="123">
        <f t="shared" si="3"/>
        <v>0</v>
      </c>
    </row>
    <row r="18" spans="1:20" x14ac:dyDescent="0.25">
      <c r="A18" s="189" t="s">
        <v>434</v>
      </c>
      <c r="B18" s="135" t="s">
        <v>452</v>
      </c>
      <c r="C18" s="116" t="s">
        <v>3</v>
      </c>
      <c r="D18" s="116"/>
      <c r="E18" s="150">
        <v>2</v>
      </c>
      <c r="F18" s="151">
        <v>0</v>
      </c>
      <c r="G18" s="123">
        <f t="shared" si="3"/>
        <v>0</v>
      </c>
    </row>
    <row r="19" spans="1:20" x14ac:dyDescent="0.25">
      <c r="A19" s="189" t="s">
        <v>435</v>
      </c>
      <c r="B19" s="135" t="s">
        <v>453</v>
      </c>
      <c r="C19" s="116" t="s">
        <v>3</v>
      </c>
      <c r="D19" s="117"/>
      <c r="E19" s="150">
        <f>1</f>
        <v>1</v>
      </c>
      <c r="F19" s="151">
        <v>0</v>
      </c>
      <c r="G19" s="123">
        <f t="shared" si="3"/>
        <v>0</v>
      </c>
    </row>
    <row r="20" spans="1:20" ht="96.75" x14ac:dyDescent="0.25">
      <c r="A20" s="189" t="s">
        <v>378</v>
      </c>
      <c r="B20" s="139" t="s">
        <v>39</v>
      </c>
      <c r="C20" s="116" t="s">
        <v>3</v>
      </c>
      <c r="D20" s="117"/>
      <c r="E20" s="150">
        <v>3</v>
      </c>
      <c r="F20" s="151">
        <v>0</v>
      </c>
      <c r="G20" s="123">
        <f>SUM(F20*E20)</f>
        <v>0</v>
      </c>
    </row>
    <row r="21" spans="1:20" ht="144.75" x14ac:dyDescent="0.25">
      <c r="A21" s="189" t="s">
        <v>379</v>
      </c>
      <c r="B21" s="141" t="s">
        <v>46</v>
      </c>
      <c r="C21" s="116" t="s">
        <v>0</v>
      </c>
      <c r="D21" s="117"/>
      <c r="E21" s="150">
        <f>(6.2*2.6)</f>
        <v>16.12</v>
      </c>
      <c r="F21" s="151">
        <v>0</v>
      </c>
      <c r="G21" s="123">
        <f>SUM(F21*E21)</f>
        <v>0</v>
      </c>
    </row>
    <row r="22" spans="1:20" ht="84.75" x14ac:dyDescent="0.25">
      <c r="A22" s="189" t="s">
        <v>380</v>
      </c>
      <c r="B22" s="139" t="s">
        <v>45</v>
      </c>
      <c r="C22" s="116" t="s">
        <v>0</v>
      </c>
      <c r="D22" s="117"/>
      <c r="E22" s="150">
        <f>(4*2.6)+(3*0.8)+(1.6*1)+(0.6*1)</f>
        <v>15</v>
      </c>
      <c r="F22" s="151">
        <v>0</v>
      </c>
      <c r="G22" s="123">
        <f t="shared" si="3"/>
        <v>0</v>
      </c>
    </row>
    <row r="23" spans="1:20" ht="84.75" x14ac:dyDescent="0.25">
      <c r="A23" s="189" t="s">
        <v>381</v>
      </c>
      <c r="B23" s="135" t="s">
        <v>42</v>
      </c>
      <c r="C23" s="116" t="s">
        <v>0</v>
      </c>
      <c r="D23" s="117"/>
      <c r="E23" s="150">
        <f>E15*2+E14*2</f>
        <v>248.65999999999997</v>
      </c>
      <c r="F23" s="151">
        <v>0</v>
      </c>
      <c r="G23" s="123">
        <f t="shared" ref="G23:G30" si="4">SUM(F23*E23)</f>
        <v>0</v>
      </c>
    </row>
    <row r="24" spans="1:20" ht="60.75" x14ac:dyDescent="0.25">
      <c r="A24" s="189" t="s">
        <v>382</v>
      </c>
      <c r="B24" s="135" t="s">
        <v>106</v>
      </c>
      <c r="C24" s="116" t="s">
        <v>0</v>
      </c>
      <c r="D24" s="117"/>
      <c r="E24" s="150">
        <f>$C$3*0.95</f>
        <v>97.788249999999991</v>
      </c>
      <c r="F24" s="151">
        <v>0</v>
      </c>
      <c r="G24" s="123">
        <f t="shared" si="4"/>
        <v>0</v>
      </c>
    </row>
    <row r="25" spans="1:20" ht="96.75" x14ac:dyDescent="0.25">
      <c r="A25" s="189" t="s">
        <v>383</v>
      </c>
      <c r="B25" s="135" t="s">
        <v>44</v>
      </c>
      <c r="C25" s="116" t="s">
        <v>0</v>
      </c>
      <c r="D25" s="116"/>
      <c r="E25" s="150">
        <v>34.879100000000001</v>
      </c>
      <c r="F25" s="151">
        <v>0</v>
      </c>
      <c r="G25" s="123">
        <f t="shared" si="4"/>
        <v>0</v>
      </c>
    </row>
    <row r="26" spans="1:20" ht="72.75" x14ac:dyDescent="0.25">
      <c r="A26" s="189" t="s">
        <v>384</v>
      </c>
      <c r="B26" s="135" t="s">
        <v>43</v>
      </c>
      <c r="C26" s="116" t="s">
        <v>0</v>
      </c>
      <c r="D26" s="117"/>
      <c r="E26" s="150">
        <f>E25</f>
        <v>34.879100000000001</v>
      </c>
      <c r="F26" s="151">
        <v>0</v>
      </c>
      <c r="G26" s="123">
        <f t="shared" si="4"/>
        <v>0</v>
      </c>
    </row>
    <row r="27" spans="1:20" ht="72.75" x14ac:dyDescent="0.25">
      <c r="A27" s="273" t="s">
        <v>385</v>
      </c>
      <c r="B27" s="135" t="s">
        <v>41</v>
      </c>
      <c r="C27" s="269" t="s">
        <v>0</v>
      </c>
      <c r="D27" s="270"/>
      <c r="E27" s="150">
        <f>8*1.5</f>
        <v>12</v>
      </c>
      <c r="F27" s="151">
        <v>0</v>
      </c>
      <c r="G27" s="123">
        <f t="shared" si="4"/>
        <v>0</v>
      </c>
    </row>
    <row r="28" spans="1:20" ht="72.75" x14ac:dyDescent="0.25">
      <c r="A28" s="273" t="s">
        <v>386</v>
      </c>
      <c r="B28" s="135" t="s">
        <v>25</v>
      </c>
      <c r="C28" s="269" t="s">
        <v>0</v>
      </c>
      <c r="D28" s="270"/>
      <c r="E28" s="150">
        <f>(4)*0.6</f>
        <v>2.4</v>
      </c>
      <c r="F28" s="151">
        <v>0</v>
      </c>
      <c r="G28" s="123">
        <f t="shared" ref="G28" si="5">SUM(F28*E28)</f>
        <v>0</v>
      </c>
    </row>
    <row r="29" spans="1:20" ht="120.75" x14ac:dyDescent="0.25">
      <c r="A29" s="273" t="s">
        <v>387</v>
      </c>
      <c r="B29" s="135" t="s">
        <v>35</v>
      </c>
      <c r="C29" s="269" t="s">
        <v>0</v>
      </c>
      <c r="D29" s="270"/>
      <c r="E29" s="150">
        <v>89.67</v>
      </c>
      <c r="F29" s="203">
        <v>0</v>
      </c>
      <c r="G29" s="123">
        <f t="shared" si="4"/>
        <v>0</v>
      </c>
    </row>
    <row r="30" spans="1:20" s="8" customFormat="1" ht="97.5" thickBot="1" x14ac:dyDescent="0.3">
      <c r="A30" s="273" t="s">
        <v>388</v>
      </c>
      <c r="B30" s="142" t="s">
        <v>36</v>
      </c>
      <c r="C30" s="288" t="s">
        <v>0</v>
      </c>
      <c r="D30" s="289"/>
      <c r="E30" s="196">
        <f>E29*1.04</f>
        <v>93.256799999999998</v>
      </c>
      <c r="F30" s="197">
        <v>0</v>
      </c>
      <c r="G30" s="198">
        <f t="shared" si="4"/>
        <v>0</v>
      </c>
    </row>
    <row r="31" spans="1:20" s="8" customFormat="1" ht="181.5" thickTop="1" x14ac:dyDescent="0.25">
      <c r="A31" s="257" t="s">
        <v>389</v>
      </c>
      <c r="B31" s="258" t="s">
        <v>610</v>
      </c>
      <c r="C31" s="249" t="s">
        <v>80</v>
      </c>
      <c r="D31" s="249"/>
      <c r="E31" s="215">
        <v>1</v>
      </c>
      <c r="F31" s="216">
        <v>0</v>
      </c>
      <c r="G31" s="217">
        <f t="shared" ref="G31" si="6">SUM(F31*E31)</f>
        <v>0</v>
      </c>
      <c r="I31" s="222"/>
      <c r="J31" s="222"/>
      <c r="K31" s="222"/>
      <c r="L31" s="222"/>
      <c r="M31" s="222"/>
      <c r="N31" s="222"/>
      <c r="O31" s="222"/>
      <c r="P31" s="222"/>
      <c r="Q31" s="222"/>
      <c r="R31" s="222"/>
      <c r="S31" s="7"/>
      <c r="T31" s="7"/>
    </row>
    <row r="32" spans="1:20" s="8" customFormat="1" ht="51" x14ac:dyDescent="0.25">
      <c r="A32" s="259"/>
      <c r="B32" s="139" t="s">
        <v>510</v>
      </c>
      <c r="C32" s="260" t="s">
        <v>95</v>
      </c>
      <c r="D32" s="260"/>
      <c r="E32" s="261">
        <v>2</v>
      </c>
      <c r="F32" s="262">
        <v>0</v>
      </c>
      <c r="G32" s="263"/>
      <c r="I32" s="222"/>
      <c r="J32" s="222"/>
      <c r="K32" s="222"/>
      <c r="L32" s="222"/>
      <c r="M32" s="222"/>
      <c r="N32" s="222"/>
      <c r="O32" s="222"/>
      <c r="P32" s="222"/>
      <c r="Q32" s="222"/>
      <c r="R32" s="222"/>
      <c r="S32" s="7"/>
      <c r="T32" s="7"/>
    </row>
    <row r="33" spans="1:20" s="8" customFormat="1" ht="114.75" x14ac:dyDescent="0.25">
      <c r="A33" s="259"/>
      <c r="B33" s="140" t="s">
        <v>503</v>
      </c>
      <c r="C33" s="260" t="s">
        <v>95</v>
      </c>
      <c r="D33" s="260"/>
      <c r="E33" s="261">
        <v>16</v>
      </c>
      <c r="F33" s="262">
        <v>0</v>
      </c>
      <c r="G33" s="263"/>
      <c r="I33" s="222"/>
      <c r="J33" s="222"/>
      <c r="K33" s="222"/>
      <c r="L33" s="222"/>
      <c r="M33" s="222"/>
      <c r="N33" s="222"/>
      <c r="O33" s="222"/>
      <c r="P33" s="222"/>
      <c r="Q33" s="222"/>
      <c r="R33" s="222"/>
      <c r="S33" s="7"/>
      <c r="T33" s="7"/>
    </row>
    <row r="34" spans="1:20" s="8" customFormat="1" ht="114.75" x14ac:dyDescent="0.25">
      <c r="A34" s="259"/>
      <c r="B34" s="140" t="s">
        <v>504</v>
      </c>
      <c r="C34" s="260" t="s">
        <v>95</v>
      </c>
      <c r="D34" s="260"/>
      <c r="E34" s="261">
        <v>10</v>
      </c>
      <c r="F34" s="262">
        <v>0</v>
      </c>
      <c r="G34" s="263"/>
      <c r="I34" s="222"/>
      <c r="J34" s="222"/>
      <c r="K34" s="222"/>
      <c r="L34" s="222"/>
      <c r="M34" s="222"/>
      <c r="N34" s="222"/>
      <c r="O34" s="222"/>
      <c r="P34" s="222"/>
      <c r="Q34" s="222"/>
      <c r="R34" s="222"/>
      <c r="S34" s="7"/>
      <c r="T34" s="7"/>
    </row>
    <row r="35" spans="1:20" s="8" customFormat="1" ht="51" x14ac:dyDescent="0.25">
      <c r="A35" s="259"/>
      <c r="B35" s="139" t="s">
        <v>511</v>
      </c>
      <c r="C35" s="260" t="s">
        <v>95</v>
      </c>
      <c r="D35" s="260"/>
      <c r="E35" s="261">
        <v>7</v>
      </c>
      <c r="F35" s="262">
        <v>0</v>
      </c>
      <c r="G35" s="263"/>
      <c r="I35" s="222"/>
      <c r="J35" s="222"/>
      <c r="K35" s="222"/>
      <c r="L35" s="222"/>
      <c r="M35" s="222"/>
      <c r="N35" s="222"/>
      <c r="O35" s="222"/>
      <c r="P35" s="222"/>
      <c r="Q35" s="222"/>
      <c r="R35" s="222"/>
      <c r="S35" s="7"/>
      <c r="T35" s="7"/>
    </row>
    <row r="36" spans="1:20" s="8" customFormat="1" ht="51" x14ac:dyDescent="0.25">
      <c r="A36" s="259"/>
      <c r="B36" s="139" t="s">
        <v>512</v>
      </c>
      <c r="C36" s="260" t="s">
        <v>95</v>
      </c>
      <c r="D36" s="260"/>
      <c r="E36" s="261">
        <v>2</v>
      </c>
      <c r="F36" s="262">
        <v>0</v>
      </c>
      <c r="G36" s="263"/>
      <c r="I36" s="222"/>
      <c r="J36" s="222"/>
      <c r="K36" s="222"/>
      <c r="L36" s="222"/>
      <c r="M36" s="222"/>
      <c r="N36" s="222"/>
      <c r="O36" s="222"/>
      <c r="P36" s="222"/>
      <c r="Q36" s="222"/>
      <c r="R36" s="222"/>
      <c r="S36" s="7"/>
      <c r="T36" s="7"/>
    </row>
    <row r="37" spans="1:20" s="8" customFormat="1" ht="51" x14ac:dyDescent="0.25">
      <c r="A37" s="259"/>
      <c r="B37" s="139" t="s">
        <v>513</v>
      </c>
      <c r="C37" s="260" t="s">
        <v>95</v>
      </c>
      <c r="D37" s="260"/>
      <c r="E37" s="261">
        <v>1</v>
      </c>
      <c r="F37" s="262">
        <v>0</v>
      </c>
      <c r="G37" s="263"/>
      <c r="I37" s="222"/>
      <c r="J37" s="222"/>
      <c r="K37" s="222"/>
      <c r="L37" s="222"/>
      <c r="M37" s="222"/>
      <c r="N37" s="222"/>
      <c r="O37" s="222"/>
      <c r="P37" s="222"/>
      <c r="Q37" s="222"/>
      <c r="R37" s="222"/>
      <c r="S37" s="7"/>
      <c r="T37" s="7"/>
    </row>
    <row r="38" spans="1:20" s="8" customFormat="1" ht="25.5" x14ac:dyDescent="0.25">
      <c r="A38" s="259"/>
      <c r="B38" s="140" t="s">
        <v>505</v>
      </c>
      <c r="C38" s="260" t="s">
        <v>95</v>
      </c>
      <c r="D38" s="260"/>
      <c r="E38" s="261">
        <v>13</v>
      </c>
      <c r="F38" s="262">
        <v>0</v>
      </c>
      <c r="G38" s="263"/>
      <c r="I38" s="222"/>
      <c r="J38" s="222"/>
      <c r="K38" s="222"/>
      <c r="L38" s="222"/>
      <c r="M38" s="222"/>
      <c r="N38" s="222"/>
      <c r="O38" s="222"/>
      <c r="P38" s="222"/>
      <c r="Q38" s="222"/>
      <c r="R38" s="222"/>
      <c r="S38" s="7"/>
      <c r="T38" s="7"/>
    </row>
    <row r="39" spans="1:20" s="7" customFormat="1" ht="25.5" x14ac:dyDescent="0.25">
      <c r="A39" s="259"/>
      <c r="B39" s="140" t="s">
        <v>507</v>
      </c>
      <c r="C39" s="260" t="s">
        <v>95</v>
      </c>
      <c r="D39" s="260"/>
      <c r="E39" s="261">
        <v>1</v>
      </c>
      <c r="F39" s="262">
        <v>0</v>
      </c>
      <c r="G39" s="263"/>
      <c r="I39" s="222"/>
      <c r="J39" s="222"/>
      <c r="K39" s="222"/>
      <c r="L39" s="222"/>
      <c r="M39" s="222"/>
      <c r="N39" s="222"/>
      <c r="O39" s="222"/>
      <c r="P39" s="222"/>
      <c r="Q39" s="222"/>
      <c r="R39" s="222"/>
    </row>
    <row r="40" spans="1:20" s="7" customFormat="1" ht="51" x14ac:dyDescent="0.25">
      <c r="A40" s="259"/>
      <c r="B40" s="140" t="s">
        <v>539</v>
      </c>
      <c r="C40" s="260" t="s">
        <v>80</v>
      </c>
      <c r="D40" s="260"/>
      <c r="E40" s="261">
        <v>1</v>
      </c>
      <c r="F40" s="262">
        <v>0</v>
      </c>
      <c r="G40" s="263"/>
      <c r="I40" s="222"/>
      <c r="J40" s="222"/>
      <c r="K40" s="222"/>
      <c r="L40" s="222"/>
      <c r="M40" s="222"/>
      <c r="N40" s="222"/>
      <c r="O40" s="222"/>
      <c r="P40" s="222"/>
      <c r="Q40" s="222"/>
      <c r="R40" s="222"/>
    </row>
    <row r="41" spans="1:20" s="7" customFormat="1" ht="76.5" x14ac:dyDescent="0.25">
      <c r="A41" s="259"/>
      <c r="B41" s="140" t="s">
        <v>542</v>
      </c>
      <c r="C41" s="260" t="s">
        <v>80</v>
      </c>
      <c r="D41" s="260"/>
      <c r="E41" s="261">
        <v>1</v>
      </c>
      <c r="F41" s="262">
        <v>0</v>
      </c>
      <c r="G41" s="263"/>
      <c r="I41" s="222"/>
      <c r="J41" s="222"/>
      <c r="K41" s="222"/>
      <c r="L41" s="222"/>
      <c r="M41" s="222"/>
      <c r="N41" s="222"/>
      <c r="O41" s="222"/>
      <c r="P41" s="222"/>
      <c r="Q41" s="222"/>
      <c r="R41" s="222"/>
    </row>
    <row r="42" spans="1:20" s="7" customFormat="1" ht="63.75" x14ac:dyDescent="0.25">
      <c r="A42" s="259"/>
      <c r="B42" s="139" t="s">
        <v>541</v>
      </c>
      <c r="C42" s="260" t="s">
        <v>95</v>
      </c>
      <c r="D42" s="260"/>
      <c r="E42" s="261">
        <v>1</v>
      </c>
      <c r="F42" s="262">
        <v>0</v>
      </c>
      <c r="G42" s="263"/>
      <c r="I42" s="222"/>
      <c r="J42" s="222"/>
      <c r="K42" s="222"/>
      <c r="L42" s="222"/>
      <c r="M42" s="222"/>
      <c r="N42" s="222"/>
      <c r="O42" s="222"/>
      <c r="P42" s="222"/>
      <c r="Q42" s="222"/>
      <c r="R42" s="222"/>
    </row>
    <row r="43" spans="1:20" s="7" customFormat="1" ht="16.5" x14ac:dyDescent="0.25">
      <c r="A43" s="259"/>
      <c r="B43" s="140" t="s">
        <v>506</v>
      </c>
      <c r="C43" s="260" t="s">
        <v>80</v>
      </c>
      <c r="D43" s="260"/>
      <c r="E43" s="261">
        <v>1</v>
      </c>
      <c r="F43" s="262">
        <v>0</v>
      </c>
      <c r="G43" s="263"/>
      <c r="I43" s="222"/>
      <c r="J43" s="222"/>
      <c r="K43" s="222"/>
      <c r="L43" s="222"/>
      <c r="M43" s="222"/>
      <c r="N43" s="222"/>
      <c r="O43" s="222"/>
      <c r="P43" s="222"/>
      <c r="Q43" s="222"/>
      <c r="R43" s="222"/>
    </row>
    <row r="44" spans="1:20" s="146" customFormat="1" ht="64.5" thickBot="1" x14ac:dyDescent="0.3">
      <c r="A44" s="259"/>
      <c r="B44" s="140" t="s">
        <v>515</v>
      </c>
      <c r="C44" s="260" t="s">
        <v>80</v>
      </c>
      <c r="D44" s="260"/>
      <c r="E44" s="261">
        <v>1</v>
      </c>
      <c r="F44" s="262">
        <v>0</v>
      </c>
      <c r="G44" s="263"/>
    </row>
    <row r="45" spans="1:20" s="7" customFormat="1" ht="301.5" thickTop="1" x14ac:dyDescent="0.25">
      <c r="A45" s="267" t="s">
        <v>390</v>
      </c>
      <c r="B45" s="258" t="s">
        <v>611</v>
      </c>
      <c r="C45" s="249" t="s">
        <v>80</v>
      </c>
      <c r="D45" s="249"/>
      <c r="E45" s="215">
        <v>1</v>
      </c>
      <c r="F45" s="216">
        <v>0</v>
      </c>
      <c r="G45" s="217">
        <f>SUM(F45*E45)</f>
        <v>0</v>
      </c>
    </row>
    <row r="46" spans="1:20" s="8" customFormat="1" ht="16.5" x14ac:dyDescent="0.25">
      <c r="A46" s="259"/>
      <c r="B46" s="226" t="s">
        <v>531</v>
      </c>
      <c r="C46" s="260"/>
      <c r="D46" s="260"/>
      <c r="E46" s="261"/>
      <c r="F46" s="262"/>
      <c r="G46" s="263"/>
      <c r="I46" s="7"/>
      <c r="J46" s="7"/>
      <c r="K46" s="7"/>
      <c r="L46" s="7"/>
      <c r="M46" s="7"/>
      <c r="N46" s="7"/>
      <c r="O46" s="7"/>
      <c r="P46" s="7"/>
      <c r="Q46" s="7"/>
      <c r="R46" s="7"/>
      <c r="S46" s="7"/>
      <c r="T46" s="7"/>
    </row>
    <row r="47" spans="1:20" s="8" customFormat="1" ht="63.75" x14ac:dyDescent="0.25">
      <c r="A47" s="259"/>
      <c r="B47" s="139" t="s">
        <v>530</v>
      </c>
      <c r="C47" s="260" t="s">
        <v>516</v>
      </c>
      <c r="D47" s="260"/>
      <c r="E47" s="261">
        <v>30</v>
      </c>
      <c r="F47" s="262">
        <v>0</v>
      </c>
      <c r="G47" s="263">
        <f t="shared" ref="G47:G49" si="7">E47*F47</f>
        <v>0</v>
      </c>
      <c r="I47" s="7"/>
      <c r="J47" s="7"/>
      <c r="K47" s="7"/>
      <c r="L47" s="7"/>
      <c r="M47" s="7"/>
      <c r="N47" s="7"/>
      <c r="O47" s="7"/>
      <c r="P47" s="7"/>
      <c r="Q47" s="7"/>
      <c r="R47" s="7"/>
      <c r="S47" s="7"/>
      <c r="T47" s="7"/>
    </row>
    <row r="48" spans="1:20" s="8" customFormat="1" ht="38.25" x14ac:dyDescent="0.25">
      <c r="A48" s="259"/>
      <c r="B48" s="139" t="s">
        <v>527</v>
      </c>
      <c r="C48" s="260" t="s">
        <v>80</v>
      </c>
      <c r="D48" s="260"/>
      <c r="E48" s="261">
        <v>1</v>
      </c>
      <c r="F48" s="262">
        <v>0</v>
      </c>
      <c r="G48" s="263">
        <f t="shared" si="7"/>
        <v>0</v>
      </c>
      <c r="I48" s="7"/>
      <c r="J48" s="7"/>
      <c r="K48" s="7"/>
      <c r="L48" s="7"/>
      <c r="M48" s="7"/>
      <c r="N48" s="7"/>
      <c r="O48" s="7"/>
      <c r="P48" s="7"/>
      <c r="Q48" s="7"/>
      <c r="R48" s="7"/>
      <c r="S48" s="7"/>
      <c r="T48" s="7"/>
    </row>
    <row r="49" spans="1:7" s="7" customFormat="1" ht="16.5" x14ac:dyDescent="0.25">
      <c r="A49" s="259"/>
      <c r="B49" s="140" t="s">
        <v>526</v>
      </c>
      <c r="C49" s="260" t="s">
        <v>80</v>
      </c>
      <c r="D49" s="260"/>
      <c r="E49" s="261">
        <v>1</v>
      </c>
      <c r="F49" s="262">
        <v>0</v>
      </c>
      <c r="G49" s="263">
        <f t="shared" si="7"/>
        <v>0</v>
      </c>
    </row>
    <row r="50" spans="1:7" s="7" customFormat="1" ht="16.5" x14ac:dyDescent="0.25">
      <c r="A50" s="259"/>
      <c r="B50" s="226" t="s">
        <v>517</v>
      </c>
      <c r="C50" s="260"/>
      <c r="D50" s="260"/>
      <c r="E50" s="261"/>
      <c r="F50" s="262"/>
      <c r="G50" s="263"/>
    </row>
    <row r="51" spans="1:7" s="8" customFormat="1" ht="25.5" x14ac:dyDescent="0.25">
      <c r="A51" s="259"/>
      <c r="B51" s="140" t="s">
        <v>528</v>
      </c>
      <c r="C51" s="260" t="s">
        <v>95</v>
      </c>
      <c r="D51" s="260"/>
      <c r="E51" s="261">
        <v>1</v>
      </c>
      <c r="F51" s="262">
        <v>0</v>
      </c>
      <c r="G51" s="263">
        <f t="shared" ref="G51:G61" si="8">E51*F51</f>
        <v>0</v>
      </c>
    </row>
    <row r="52" spans="1:7" s="8" customFormat="1" ht="25.5" x14ac:dyDescent="0.25">
      <c r="A52" s="268"/>
      <c r="B52" s="139" t="s">
        <v>529</v>
      </c>
      <c r="C52" s="260" t="s">
        <v>95</v>
      </c>
      <c r="D52" s="260"/>
      <c r="E52" s="261">
        <v>1</v>
      </c>
      <c r="F52" s="262">
        <v>0</v>
      </c>
      <c r="G52" s="263">
        <f t="shared" si="8"/>
        <v>0</v>
      </c>
    </row>
    <row r="53" spans="1:7" s="8" customFormat="1" ht="51" x14ac:dyDescent="0.25">
      <c r="A53" s="268"/>
      <c r="B53" s="139" t="s">
        <v>523</v>
      </c>
      <c r="C53" s="260" t="s">
        <v>95</v>
      </c>
      <c r="D53" s="260"/>
      <c r="E53" s="261">
        <v>1</v>
      </c>
      <c r="F53" s="262">
        <v>0</v>
      </c>
      <c r="G53" s="263">
        <f t="shared" si="8"/>
        <v>0</v>
      </c>
    </row>
    <row r="54" spans="1:7" s="8" customFormat="1" ht="38.25" x14ac:dyDescent="0.25">
      <c r="A54" s="268"/>
      <c r="B54" s="139" t="s">
        <v>524</v>
      </c>
      <c r="C54" s="260" t="s">
        <v>95</v>
      </c>
      <c r="D54" s="260"/>
      <c r="E54" s="261">
        <v>2</v>
      </c>
      <c r="F54" s="262">
        <v>0</v>
      </c>
      <c r="G54" s="263">
        <f t="shared" si="8"/>
        <v>0</v>
      </c>
    </row>
    <row r="55" spans="1:7" s="8" customFormat="1" ht="25.5" x14ac:dyDescent="0.25">
      <c r="A55" s="268"/>
      <c r="B55" s="139" t="s">
        <v>521</v>
      </c>
      <c r="C55" s="260" t="s">
        <v>95</v>
      </c>
      <c r="D55" s="260"/>
      <c r="E55" s="261">
        <v>1</v>
      </c>
      <c r="F55" s="262">
        <v>0</v>
      </c>
      <c r="G55" s="263">
        <f t="shared" si="8"/>
        <v>0</v>
      </c>
    </row>
    <row r="56" spans="1:7" s="8" customFormat="1" ht="25.5" x14ac:dyDescent="0.25">
      <c r="A56" s="268"/>
      <c r="B56" s="139" t="s">
        <v>522</v>
      </c>
      <c r="C56" s="260" t="s">
        <v>95</v>
      </c>
      <c r="D56" s="260"/>
      <c r="E56" s="261">
        <v>1</v>
      </c>
      <c r="F56" s="262">
        <v>0</v>
      </c>
      <c r="G56" s="263">
        <f t="shared" si="8"/>
        <v>0</v>
      </c>
    </row>
    <row r="57" spans="1:7" s="7" customFormat="1" ht="25.5" x14ac:dyDescent="0.25">
      <c r="A57" s="259"/>
      <c r="B57" s="140" t="s">
        <v>567</v>
      </c>
      <c r="C57" s="260" t="s">
        <v>95</v>
      </c>
      <c r="D57" s="260"/>
      <c r="E57" s="261">
        <v>1</v>
      </c>
      <c r="F57" s="262">
        <v>0</v>
      </c>
      <c r="G57" s="263">
        <f>E57*F57</f>
        <v>0</v>
      </c>
    </row>
    <row r="58" spans="1:7" s="7" customFormat="1" ht="25.5" x14ac:dyDescent="0.25">
      <c r="A58" s="259"/>
      <c r="B58" s="139" t="s">
        <v>568</v>
      </c>
      <c r="C58" s="260" t="s">
        <v>95</v>
      </c>
      <c r="D58" s="260"/>
      <c r="E58" s="261">
        <v>1</v>
      </c>
      <c r="F58" s="262">
        <v>0</v>
      </c>
      <c r="G58" s="263"/>
    </row>
    <row r="59" spans="1:7" s="7" customFormat="1" ht="16.5" x14ac:dyDescent="0.25">
      <c r="A59" s="259"/>
      <c r="B59" s="139" t="s">
        <v>565</v>
      </c>
      <c r="C59" s="260" t="s">
        <v>95</v>
      </c>
      <c r="D59" s="260"/>
      <c r="E59" s="261">
        <v>1</v>
      </c>
      <c r="F59" s="262">
        <v>0</v>
      </c>
      <c r="G59" s="263"/>
    </row>
    <row r="60" spans="1:7" s="7" customFormat="1" ht="16.5" x14ac:dyDescent="0.25">
      <c r="A60" s="259"/>
      <c r="B60" s="139" t="s">
        <v>566</v>
      </c>
      <c r="C60" s="260" t="s">
        <v>95</v>
      </c>
      <c r="D60" s="260"/>
      <c r="E60" s="261">
        <v>1</v>
      </c>
      <c r="F60" s="262">
        <v>0</v>
      </c>
      <c r="G60" s="263"/>
    </row>
    <row r="61" spans="1:7" s="8" customFormat="1" ht="76.5" x14ac:dyDescent="0.25">
      <c r="A61" s="268"/>
      <c r="B61" s="139" t="s">
        <v>538</v>
      </c>
      <c r="C61" s="260" t="s">
        <v>95</v>
      </c>
      <c r="D61" s="260"/>
      <c r="E61" s="261">
        <v>1</v>
      </c>
      <c r="F61" s="262">
        <v>0</v>
      </c>
      <c r="G61" s="263">
        <f t="shared" si="8"/>
        <v>0</v>
      </c>
    </row>
    <row r="62" spans="1:7" s="8" customFormat="1" ht="16.5" x14ac:dyDescent="0.25">
      <c r="A62" s="268"/>
      <c r="B62" s="226" t="s">
        <v>518</v>
      </c>
      <c r="C62" s="260"/>
      <c r="D62" s="260"/>
      <c r="E62" s="261"/>
      <c r="F62" s="262"/>
      <c r="G62" s="263"/>
    </row>
    <row r="63" spans="1:7" s="8" customFormat="1" ht="51" x14ac:dyDescent="0.25">
      <c r="A63" s="268"/>
      <c r="B63" s="139" t="s">
        <v>532</v>
      </c>
      <c r="C63" s="260" t="s">
        <v>516</v>
      </c>
      <c r="D63" s="260"/>
      <c r="E63" s="261">
        <v>10</v>
      </c>
      <c r="F63" s="262">
        <v>0</v>
      </c>
      <c r="G63" s="263">
        <f t="shared" ref="G63:G67" si="9">E63*F63</f>
        <v>0</v>
      </c>
    </row>
    <row r="64" spans="1:7" s="8" customFormat="1" ht="51" x14ac:dyDescent="0.25">
      <c r="A64" s="268"/>
      <c r="B64" s="139" t="s">
        <v>533</v>
      </c>
      <c r="C64" s="260" t="s">
        <v>516</v>
      </c>
      <c r="D64" s="260"/>
      <c r="E64" s="261">
        <v>5</v>
      </c>
      <c r="F64" s="262">
        <v>0</v>
      </c>
      <c r="G64" s="263">
        <f t="shared" si="9"/>
        <v>0</v>
      </c>
    </row>
    <row r="65" spans="1:18" s="8" customFormat="1" ht="51" x14ac:dyDescent="0.25">
      <c r="A65" s="268"/>
      <c r="B65" s="139" t="s">
        <v>534</v>
      </c>
      <c r="C65" s="260" t="s">
        <v>516</v>
      </c>
      <c r="D65" s="260"/>
      <c r="E65" s="261">
        <v>10</v>
      </c>
      <c r="F65" s="262">
        <v>0</v>
      </c>
      <c r="G65" s="263">
        <f t="shared" si="9"/>
        <v>0</v>
      </c>
    </row>
    <row r="66" spans="1:18" s="8" customFormat="1" ht="38.25" x14ac:dyDescent="0.25">
      <c r="A66" s="268"/>
      <c r="B66" s="139" t="s">
        <v>527</v>
      </c>
      <c r="C66" s="260" t="s">
        <v>80</v>
      </c>
      <c r="D66" s="260"/>
      <c r="E66" s="261">
        <v>1</v>
      </c>
      <c r="F66" s="262">
        <v>0</v>
      </c>
      <c r="G66" s="263">
        <f t="shared" si="9"/>
        <v>0</v>
      </c>
    </row>
    <row r="67" spans="1:18" s="8" customFormat="1" ht="16.5" x14ac:dyDescent="0.25">
      <c r="A67" s="268"/>
      <c r="B67" s="140" t="s">
        <v>526</v>
      </c>
      <c r="C67" s="260" t="s">
        <v>80</v>
      </c>
      <c r="D67" s="260"/>
      <c r="E67" s="261">
        <v>1</v>
      </c>
      <c r="F67" s="262">
        <v>0</v>
      </c>
      <c r="G67" s="263">
        <f t="shared" si="9"/>
        <v>0</v>
      </c>
    </row>
    <row r="68" spans="1:18" s="8" customFormat="1" ht="16.5" x14ac:dyDescent="0.25">
      <c r="A68" s="268"/>
      <c r="B68" s="226" t="s">
        <v>519</v>
      </c>
      <c r="C68" s="260"/>
      <c r="D68" s="260"/>
      <c r="E68" s="261"/>
      <c r="F68" s="262"/>
      <c r="G68" s="263"/>
    </row>
    <row r="69" spans="1:18" s="8" customFormat="1" ht="38.25" x14ac:dyDescent="0.25">
      <c r="A69" s="268"/>
      <c r="B69" s="139" t="s">
        <v>540</v>
      </c>
      <c r="C69" s="260" t="s">
        <v>516</v>
      </c>
      <c r="D69" s="260"/>
      <c r="E69" s="261">
        <f>10*3+14.7*2+6.1*2</f>
        <v>71.599999999999994</v>
      </c>
      <c r="F69" s="262">
        <v>0</v>
      </c>
      <c r="G69" s="263">
        <f t="shared" ref="G69:G73" si="10">E69*F69</f>
        <v>0</v>
      </c>
    </row>
    <row r="70" spans="1:18" s="8" customFormat="1" ht="38.25" x14ac:dyDescent="0.25">
      <c r="A70" s="268"/>
      <c r="B70" s="139" t="s">
        <v>527</v>
      </c>
      <c r="C70" s="260" t="s">
        <v>80</v>
      </c>
      <c r="D70" s="260"/>
      <c r="E70" s="261">
        <v>1</v>
      </c>
      <c r="F70" s="262">
        <v>0</v>
      </c>
      <c r="G70" s="263">
        <f t="shared" si="10"/>
        <v>0</v>
      </c>
    </row>
    <row r="71" spans="1:18" s="8" customFormat="1" ht="16.5" x14ac:dyDescent="0.25">
      <c r="A71" s="268"/>
      <c r="B71" s="139" t="s">
        <v>520</v>
      </c>
      <c r="C71" s="260" t="s">
        <v>95</v>
      </c>
      <c r="D71" s="260"/>
      <c r="E71" s="261">
        <f>10*3</f>
        <v>30</v>
      </c>
      <c r="F71" s="262">
        <v>0</v>
      </c>
      <c r="G71" s="263">
        <f t="shared" si="10"/>
        <v>0</v>
      </c>
    </row>
    <row r="72" spans="1:18" s="8" customFormat="1" ht="16.5" x14ac:dyDescent="0.25">
      <c r="A72" s="268"/>
      <c r="B72" s="139" t="s">
        <v>535</v>
      </c>
      <c r="C72" s="260" t="s">
        <v>95</v>
      </c>
      <c r="D72" s="260"/>
      <c r="E72" s="261">
        <f>14.7*2+6.1*2</f>
        <v>41.599999999999994</v>
      </c>
      <c r="F72" s="262">
        <v>0</v>
      </c>
      <c r="G72" s="263">
        <f t="shared" si="10"/>
        <v>0</v>
      </c>
    </row>
    <row r="73" spans="1:18" s="8" customFormat="1" ht="17.25" thickBot="1" x14ac:dyDescent="0.3">
      <c r="A73" s="268"/>
      <c r="B73" s="140" t="s">
        <v>526</v>
      </c>
      <c r="C73" s="260" t="s">
        <v>80</v>
      </c>
      <c r="D73" s="260"/>
      <c r="E73" s="261">
        <v>1</v>
      </c>
      <c r="F73" s="262">
        <v>0</v>
      </c>
      <c r="G73" s="263">
        <f t="shared" si="10"/>
        <v>0</v>
      </c>
    </row>
    <row r="74" spans="1:18" s="7" customFormat="1" ht="145.5" thickTop="1" x14ac:dyDescent="0.25">
      <c r="A74" s="257" t="s">
        <v>487</v>
      </c>
      <c r="B74" s="258" t="s">
        <v>612</v>
      </c>
      <c r="C74" s="249" t="s">
        <v>80</v>
      </c>
      <c r="D74" s="249"/>
      <c r="E74" s="215">
        <v>1</v>
      </c>
      <c r="F74" s="216">
        <v>0</v>
      </c>
      <c r="G74" s="217">
        <f>SUM(F74*E74)</f>
        <v>0</v>
      </c>
      <c r="I74" s="222"/>
      <c r="J74" s="222"/>
      <c r="K74" s="222"/>
      <c r="L74" s="222"/>
      <c r="M74" s="222"/>
      <c r="N74" s="222"/>
      <c r="O74" s="222"/>
      <c r="P74" s="222"/>
      <c r="Q74" s="222"/>
      <c r="R74" s="222"/>
    </row>
    <row r="75" spans="1:18" s="7" customFormat="1" ht="63.75" x14ac:dyDescent="0.25">
      <c r="A75" s="259"/>
      <c r="B75" s="140" t="s">
        <v>543</v>
      </c>
      <c r="C75" s="260" t="s">
        <v>80</v>
      </c>
      <c r="D75" s="260"/>
      <c r="E75" s="261">
        <v>1</v>
      </c>
      <c r="F75" s="262">
        <v>0</v>
      </c>
      <c r="G75" s="263">
        <f t="shared" ref="G75:G80" si="11">E75*F75</f>
        <v>0</v>
      </c>
      <c r="I75" s="222"/>
      <c r="J75" s="222"/>
      <c r="K75" s="222"/>
      <c r="L75" s="222"/>
      <c r="M75" s="222"/>
      <c r="N75" s="222"/>
      <c r="O75" s="222"/>
      <c r="P75" s="222"/>
      <c r="Q75" s="222"/>
      <c r="R75" s="222"/>
    </row>
    <row r="76" spans="1:18" s="146" customFormat="1" ht="63.75" x14ac:dyDescent="0.25">
      <c r="A76" s="259"/>
      <c r="B76" s="140" t="s">
        <v>544</v>
      </c>
      <c r="C76" s="260" t="s">
        <v>80</v>
      </c>
      <c r="D76" s="260"/>
      <c r="E76" s="261">
        <v>1</v>
      </c>
      <c r="F76" s="262">
        <v>0</v>
      </c>
      <c r="G76" s="263">
        <f t="shared" si="11"/>
        <v>0</v>
      </c>
    </row>
    <row r="77" spans="1:18" s="146" customFormat="1" ht="51" x14ac:dyDescent="0.25">
      <c r="A77" s="273"/>
      <c r="B77" s="140" t="s">
        <v>536</v>
      </c>
      <c r="C77" s="260" t="s">
        <v>95</v>
      </c>
      <c r="D77" s="260"/>
      <c r="E77" s="261">
        <v>1</v>
      </c>
      <c r="F77" s="262">
        <v>0</v>
      </c>
      <c r="G77" s="263">
        <f t="shared" si="11"/>
        <v>0</v>
      </c>
    </row>
    <row r="78" spans="1:18" s="146" customFormat="1" ht="38.25" x14ac:dyDescent="0.25">
      <c r="A78" s="257"/>
      <c r="B78" s="274" t="s">
        <v>537</v>
      </c>
      <c r="C78" s="275" t="s">
        <v>95</v>
      </c>
      <c r="D78" s="275"/>
      <c r="E78" s="276">
        <v>1</v>
      </c>
      <c r="F78" s="262">
        <v>0</v>
      </c>
      <c r="G78" s="263">
        <f t="shared" si="11"/>
        <v>0</v>
      </c>
    </row>
    <row r="79" spans="1:18" s="146" customFormat="1" ht="63.75" x14ac:dyDescent="0.25">
      <c r="A79" s="257"/>
      <c r="B79" s="274" t="s">
        <v>553</v>
      </c>
      <c r="C79" s="275" t="s">
        <v>95</v>
      </c>
      <c r="D79" s="275"/>
      <c r="E79" s="276">
        <v>1</v>
      </c>
      <c r="F79" s="262">
        <v>0</v>
      </c>
      <c r="G79" s="263">
        <f t="shared" si="11"/>
        <v>0</v>
      </c>
    </row>
    <row r="80" spans="1:18" s="8" customFormat="1" ht="17.25" thickBot="1" x14ac:dyDescent="0.3">
      <c r="A80" s="257"/>
      <c r="B80" s="277" t="s">
        <v>526</v>
      </c>
      <c r="C80" s="278" t="s">
        <v>80</v>
      </c>
      <c r="D80" s="278"/>
      <c r="E80" s="279">
        <v>1</v>
      </c>
      <c r="F80" s="280">
        <v>0</v>
      </c>
      <c r="G80" s="281">
        <f t="shared" si="11"/>
        <v>0</v>
      </c>
    </row>
    <row r="81" spans="1:7" s="8" customFormat="1" ht="17.25" thickTop="1" x14ac:dyDescent="0.25">
      <c r="A81" s="273" t="s">
        <v>488</v>
      </c>
      <c r="B81" s="227" t="s">
        <v>438</v>
      </c>
      <c r="C81" s="249"/>
      <c r="D81" s="249"/>
      <c r="E81" s="250"/>
      <c r="F81" s="295"/>
      <c r="G81" s="291"/>
    </row>
    <row r="82" spans="1:7" s="8" customFormat="1" ht="16.5" x14ac:dyDescent="0.25">
      <c r="A82" s="273" t="s">
        <v>489</v>
      </c>
      <c r="B82" s="290" t="s">
        <v>14</v>
      </c>
      <c r="C82" s="164" t="s">
        <v>12</v>
      </c>
      <c r="D82" s="164"/>
      <c r="E82" s="292">
        <v>2</v>
      </c>
      <c r="F82" s="293">
        <v>0</v>
      </c>
      <c r="G82" s="294">
        <f>E82*F82</f>
        <v>0</v>
      </c>
    </row>
    <row r="83" spans="1:7" ht="15.75" thickBot="1" x14ac:dyDescent="0.3">
      <c r="A83" s="189" t="s">
        <v>575</v>
      </c>
      <c r="B83" s="49" t="s">
        <v>13</v>
      </c>
      <c r="C83" s="157" t="s">
        <v>12</v>
      </c>
      <c r="D83" s="157"/>
      <c r="E83" s="158">
        <v>2</v>
      </c>
      <c r="F83" s="159">
        <v>0</v>
      </c>
      <c r="G83" s="160">
        <f>E83*F83</f>
        <v>0</v>
      </c>
    </row>
    <row r="84" spans="1:7" ht="16.5" thickTop="1" thickBot="1" x14ac:dyDescent="0.3">
      <c r="A84" s="186"/>
      <c r="B84" s="51"/>
      <c r="C84" s="52"/>
      <c r="D84" s="52"/>
      <c r="E84" s="97"/>
      <c r="F84" s="98"/>
      <c r="G84" s="99">
        <f>SUM(G11:G83)</f>
        <v>0</v>
      </c>
    </row>
    <row r="85" spans="1:7" ht="15.75" thickTop="1" x14ac:dyDescent="0.25"/>
  </sheetData>
  <mergeCells count="2">
    <mergeCell ref="A3:B3"/>
    <mergeCell ref="A1:G1"/>
  </mergeCells>
  <printOptions horizontalCentered="1"/>
  <pageMargins left="0.39370078740157483" right="0.39370078740157483" top="0.39370078740157483" bottom="0.59055118110236227" header="0.31496062992125984" footer="0.31496062992125984"/>
  <pageSetup paperSize="9" orientation="landscape" r:id="rId1"/>
  <headerFooter>
    <oddFooter>&amp;L&amp;8CONCEPTION ET ADAPTATION ARCHITECTURALE-STRUCTURALE DES PLAN TYPES DE CENTRES PUBLICS DE FORMATION PROFESSIONNELLE ET D’ETUDES TECHNIQUES EN VUE DE LA CONSTRUCTION DU CENTRE PROFESSIONNELLE DES CAYES</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sheetPr>
  <dimension ref="A1:F87"/>
  <sheetViews>
    <sheetView topLeftCell="A22" zoomScaleNormal="100" zoomScaleSheetLayoutView="85" zoomScalePageLayoutView="120" workbookViewId="0">
      <selection activeCell="H8" sqref="H8"/>
    </sheetView>
  </sheetViews>
  <sheetFormatPr defaultColWidth="11.5703125" defaultRowHeight="15" x14ac:dyDescent="0.25"/>
  <cols>
    <col min="1" max="1" width="5.7109375" customWidth="1"/>
    <col min="2" max="2" width="85.42578125" style="22" customWidth="1"/>
    <col min="3" max="3" width="8.28515625" style="166" bestFit="1" customWidth="1"/>
    <col min="4" max="4" width="13.7109375" style="92" customWidth="1"/>
    <col min="5" max="5" width="10" style="93" customWidth="1"/>
    <col min="6" max="6" width="15.140625" style="92" customWidth="1"/>
  </cols>
  <sheetData>
    <row r="1" spans="1:6" ht="33.950000000000003" customHeight="1" thickTop="1" thickBot="1" x14ac:dyDescent="0.3">
      <c r="A1" s="356" t="s">
        <v>85</v>
      </c>
      <c r="B1" s="357"/>
      <c r="C1" s="357"/>
      <c r="D1" s="357"/>
      <c r="E1" s="357"/>
      <c r="F1" s="358"/>
    </row>
    <row r="2" spans="1:6" ht="16.5" thickTop="1" thickBot="1" x14ac:dyDescent="0.3">
      <c r="C2" s="161" t="s">
        <v>12</v>
      </c>
      <c r="D2" s="92" t="s">
        <v>4</v>
      </c>
      <c r="E2" s="93" t="s">
        <v>5</v>
      </c>
      <c r="F2" s="92" t="s">
        <v>6</v>
      </c>
    </row>
    <row r="3" spans="1:6" ht="16.5" thickTop="1" thickBot="1" x14ac:dyDescent="0.3">
      <c r="A3" s="354" t="s">
        <v>81</v>
      </c>
      <c r="B3" s="355"/>
      <c r="C3" s="162"/>
      <c r="D3" s="94"/>
      <c r="E3" s="95"/>
      <c r="F3" s="96">
        <v>0</v>
      </c>
    </row>
    <row r="4" spans="1:6" ht="409.5" thickTop="1" x14ac:dyDescent="0.25">
      <c r="A4" s="233">
        <v>12.01</v>
      </c>
      <c r="B4" s="136" t="s">
        <v>439</v>
      </c>
      <c r="C4" s="163" t="s">
        <v>80</v>
      </c>
      <c r="D4" s="148">
        <v>1</v>
      </c>
      <c r="E4" s="149">
        <v>0</v>
      </c>
      <c r="F4" s="122">
        <f>SUM(E4*D4)</f>
        <v>0</v>
      </c>
    </row>
    <row r="5" spans="1:6" ht="120.75" x14ac:dyDescent="0.25">
      <c r="A5" s="234">
        <f>A4+0.01</f>
        <v>12.02</v>
      </c>
      <c r="B5" s="214" t="s">
        <v>446</v>
      </c>
      <c r="C5" s="164" t="s">
        <v>80</v>
      </c>
      <c r="D5" s="150">
        <v>1</v>
      </c>
      <c r="E5" s="151">
        <v>0</v>
      </c>
      <c r="F5" s="123">
        <f t="shared" ref="F5" si="0">SUM(E5*D5)</f>
        <v>0</v>
      </c>
    </row>
    <row r="6" spans="1:6" ht="72.75" x14ac:dyDescent="0.25">
      <c r="A6" s="234">
        <f t="shared" ref="A6:A49" si="1">A5+0.01</f>
        <v>12.03</v>
      </c>
      <c r="B6" s="135" t="s">
        <v>440</v>
      </c>
      <c r="C6" s="164" t="s">
        <v>0</v>
      </c>
      <c r="D6" s="150">
        <f>'--RESUME--'!D16</f>
        <v>4783.1399999999994</v>
      </c>
      <c r="E6" s="151">
        <v>0</v>
      </c>
      <c r="F6" s="123">
        <f t="shared" ref="F6:F17" si="2">SUM(E6*D6)</f>
        <v>0</v>
      </c>
    </row>
    <row r="7" spans="1:6" ht="204.75" x14ac:dyDescent="0.25">
      <c r="A7" s="234">
        <f t="shared" si="1"/>
        <v>12.04</v>
      </c>
      <c r="B7" s="135" t="s">
        <v>444</v>
      </c>
      <c r="C7" s="164" t="s">
        <v>2</v>
      </c>
      <c r="D7" s="150">
        <v>1507.5</v>
      </c>
      <c r="E7" s="151">
        <v>0</v>
      </c>
      <c r="F7" s="123">
        <f>SUM(E7*D7)</f>
        <v>0</v>
      </c>
    </row>
    <row r="8" spans="1:6" ht="253.5" thickBot="1" x14ac:dyDescent="0.3">
      <c r="A8" s="382">
        <f t="shared" si="1"/>
        <v>12.049999999999999</v>
      </c>
      <c r="B8" s="383" t="s">
        <v>441</v>
      </c>
      <c r="C8" s="384" t="s">
        <v>2</v>
      </c>
      <c r="D8" s="385">
        <v>2526</v>
      </c>
      <c r="E8" s="386">
        <v>0</v>
      </c>
      <c r="F8" s="387">
        <f>SUM(E8*D8)</f>
        <v>0</v>
      </c>
    </row>
    <row r="9" spans="1:6" ht="97.5" thickTop="1" x14ac:dyDescent="0.25">
      <c r="A9" s="234">
        <f t="shared" si="1"/>
        <v>12.059999999999999</v>
      </c>
      <c r="B9" s="170" t="s">
        <v>79</v>
      </c>
      <c r="C9" s="190" t="s">
        <v>0</v>
      </c>
      <c r="D9" s="191">
        <v>1189.45</v>
      </c>
      <c r="E9" s="192">
        <v>0</v>
      </c>
      <c r="F9" s="193">
        <f>SUM(E9*D9)</f>
        <v>0</v>
      </c>
    </row>
    <row r="10" spans="1:6" ht="108.75" x14ac:dyDescent="0.25">
      <c r="A10" s="234">
        <f t="shared" si="1"/>
        <v>12.069999999999999</v>
      </c>
      <c r="B10" s="136" t="s">
        <v>445</v>
      </c>
      <c r="C10" s="164" t="s">
        <v>0</v>
      </c>
      <c r="D10" s="194">
        <v>184</v>
      </c>
      <c r="E10" s="151">
        <v>0</v>
      </c>
      <c r="F10" s="123">
        <f>SUM(E10*D10)</f>
        <v>0</v>
      </c>
    </row>
    <row r="11" spans="1:6" ht="48.75" x14ac:dyDescent="0.25">
      <c r="A11" s="234">
        <f t="shared" si="1"/>
        <v>12.079999999999998</v>
      </c>
      <c r="B11" s="135" t="s">
        <v>442</v>
      </c>
      <c r="C11" s="164" t="s">
        <v>0</v>
      </c>
      <c r="D11" s="194">
        <v>1015</v>
      </c>
      <c r="E11" s="151">
        <v>0</v>
      </c>
      <c r="F11" s="123">
        <f>SUM(E11*D11)</f>
        <v>0</v>
      </c>
    </row>
    <row r="12" spans="1:6" ht="36.75" x14ac:dyDescent="0.25">
      <c r="A12" s="234">
        <f t="shared" si="1"/>
        <v>12.089999999999998</v>
      </c>
      <c r="B12" s="135" t="s">
        <v>100</v>
      </c>
      <c r="C12" s="164" t="s">
        <v>0</v>
      </c>
      <c r="D12" s="150">
        <v>2825</v>
      </c>
      <c r="E12" s="151">
        <v>0</v>
      </c>
      <c r="F12" s="123">
        <f t="shared" si="2"/>
        <v>0</v>
      </c>
    </row>
    <row r="13" spans="1:6" ht="37.5" x14ac:dyDescent="0.25">
      <c r="A13" s="234">
        <f t="shared" si="1"/>
        <v>12.099999999999998</v>
      </c>
      <c r="B13" s="135" t="s">
        <v>87</v>
      </c>
      <c r="C13" s="164" t="s">
        <v>0</v>
      </c>
      <c r="D13" s="150">
        <v>1330</v>
      </c>
      <c r="E13" s="151">
        <v>0</v>
      </c>
      <c r="F13" s="123">
        <f t="shared" si="2"/>
        <v>0</v>
      </c>
    </row>
    <row r="14" spans="1:6" ht="36.75" x14ac:dyDescent="0.25">
      <c r="A14" s="234">
        <f t="shared" si="1"/>
        <v>12.109999999999998</v>
      </c>
      <c r="B14" s="135" t="s">
        <v>84</v>
      </c>
      <c r="C14" s="164" t="s">
        <v>0</v>
      </c>
      <c r="D14" s="150">
        <v>968</v>
      </c>
      <c r="E14" s="151">
        <v>0</v>
      </c>
      <c r="F14" s="123">
        <f t="shared" si="2"/>
        <v>0</v>
      </c>
    </row>
    <row r="15" spans="1:6" ht="49.5" thickBot="1" x14ac:dyDescent="0.3">
      <c r="A15" s="234">
        <f t="shared" si="1"/>
        <v>12.119999999999997</v>
      </c>
      <c r="B15" s="142" t="s">
        <v>82</v>
      </c>
      <c r="C15" s="195" t="s">
        <v>0</v>
      </c>
      <c r="D15" s="196">
        <v>1340</v>
      </c>
      <c r="E15" s="197">
        <v>0</v>
      </c>
      <c r="F15" s="198">
        <f t="shared" si="2"/>
        <v>0</v>
      </c>
    </row>
    <row r="16" spans="1:6" ht="157.5" thickTop="1" x14ac:dyDescent="0.25">
      <c r="A16" s="234">
        <f t="shared" si="1"/>
        <v>12.129999999999997</v>
      </c>
      <c r="B16" s="136" t="s">
        <v>449</v>
      </c>
      <c r="C16" s="163" t="s">
        <v>95</v>
      </c>
      <c r="D16" s="148">
        <v>25</v>
      </c>
      <c r="E16" s="149">
        <v>0</v>
      </c>
      <c r="F16" s="122">
        <f t="shared" si="2"/>
        <v>0</v>
      </c>
    </row>
    <row r="17" spans="1:6" ht="157.5" thickBot="1" x14ac:dyDescent="0.3">
      <c r="A17" s="234">
        <f t="shared" si="1"/>
        <v>12.139999999999997</v>
      </c>
      <c r="B17" s="134" t="s">
        <v>450</v>
      </c>
      <c r="C17" s="167" t="s">
        <v>95</v>
      </c>
      <c r="D17" s="168">
        <v>60</v>
      </c>
      <c r="E17" s="169">
        <v>0</v>
      </c>
      <c r="F17" s="115">
        <f t="shared" si="2"/>
        <v>0</v>
      </c>
    </row>
    <row r="18" spans="1:6" ht="73.5" thickTop="1" x14ac:dyDescent="0.25">
      <c r="A18" s="234">
        <f t="shared" si="1"/>
        <v>12.149999999999997</v>
      </c>
      <c r="B18" s="170" t="s">
        <v>101</v>
      </c>
      <c r="C18" s="190" t="s">
        <v>1</v>
      </c>
      <c r="D18" s="202">
        <f>(13*3)+(4*3.85)</f>
        <v>54.4</v>
      </c>
      <c r="E18" s="192">
        <v>0</v>
      </c>
      <c r="F18" s="193">
        <f>SUM(E18*D18)</f>
        <v>0</v>
      </c>
    </row>
    <row r="19" spans="1:6" ht="108.75" x14ac:dyDescent="0.25">
      <c r="A19" s="234">
        <f t="shared" si="1"/>
        <v>12.159999999999997</v>
      </c>
      <c r="B19" s="136" t="s">
        <v>447</v>
      </c>
      <c r="C19" s="164" t="s">
        <v>80</v>
      </c>
      <c r="D19" s="150">
        <v>1</v>
      </c>
      <c r="E19" s="151">
        <v>0</v>
      </c>
      <c r="F19" s="123">
        <f>SUM(E19*D19)</f>
        <v>0</v>
      </c>
    </row>
    <row r="20" spans="1:6" ht="156.75" x14ac:dyDescent="0.25">
      <c r="A20" s="234">
        <f t="shared" si="1"/>
        <v>12.169999999999996</v>
      </c>
      <c r="B20" s="136" t="s">
        <v>448</v>
      </c>
      <c r="C20" s="164" t="s">
        <v>80</v>
      </c>
      <c r="D20" s="150">
        <v>1</v>
      </c>
      <c r="E20" s="151">
        <v>0</v>
      </c>
      <c r="F20" s="123">
        <f>SUM(E20*D20)</f>
        <v>0</v>
      </c>
    </row>
    <row r="21" spans="1:6" ht="48.75" x14ac:dyDescent="0.25">
      <c r="A21" s="234">
        <f t="shared" si="1"/>
        <v>12.179999999999996</v>
      </c>
      <c r="B21" s="135" t="s">
        <v>83</v>
      </c>
      <c r="C21" s="164" t="s">
        <v>491</v>
      </c>
      <c r="D21" s="150">
        <v>614</v>
      </c>
      <c r="E21" s="151">
        <v>0</v>
      </c>
      <c r="F21" s="123">
        <f>SUM(E21*D21)</f>
        <v>0</v>
      </c>
    </row>
    <row r="22" spans="1:6" ht="61.5" thickBot="1" x14ac:dyDescent="0.3">
      <c r="A22" s="234">
        <f t="shared" si="1"/>
        <v>12.189999999999996</v>
      </c>
      <c r="B22" s="134" t="s">
        <v>102</v>
      </c>
      <c r="C22" s="167" t="s">
        <v>80</v>
      </c>
      <c r="D22" s="168">
        <v>1</v>
      </c>
      <c r="E22" s="169">
        <v>0</v>
      </c>
      <c r="F22" s="115">
        <f>SUM(E22*D22)</f>
        <v>0</v>
      </c>
    </row>
    <row r="23" spans="1:6" ht="49.5" thickTop="1" x14ac:dyDescent="0.25">
      <c r="A23" s="234">
        <f t="shared" si="1"/>
        <v>12.199999999999996</v>
      </c>
      <c r="B23" s="228" t="s">
        <v>583</v>
      </c>
      <c r="C23" s="249" t="s">
        <v>80</v>
      </c>
      <c r="D23" s="250">
        <v>1</v>
      </c>
      <c r="E23" s="251">
        <v>0</v>
      </c>
      <c r="F23" s="252">
        <f t="shared" ref="F23" si="3">D23*E23</f>
        <v>0</v>
      </c>
    </row>
    <row r="24" spans="1:6" ht="204" x14ac:dyDescent="0.25">
      <c r="A24" s="234"/>
      <c r="B24" s="253" t="s">
        <v>580</v>
      </c>
      <c r="C24" s="164" t="s">
        <v>516</v>
      </c>
      <c r="D24" s="241">
        <v>480</v>
      </c>
      <c r="E24" s="151">
        <v>0</v>
      </c>
      <c r="F24" s="123">
        <f t="shared" ref="F24:F25" si="4">SUM(E24*D24)</f>
        <v>0</v>
      </c>
    </row>
    <row r="25" spans="1:6" ht="60" x14ac:dyDescent="0.25">
      <c r="A25" s="234"/>
      <c r="B25" s="240" t="s">
        <v>582</v>
      </c>
      <c r="C25" s="164" t="s">
        <v>95</v>
      </c>
      <c r="D25" s="241">
        <v>8</v>
      </c>
      <c r="E25" s="151">
        <v>0</v>
      </c>
      <c r="F25" s="123">
        <f t="shared" si="4"/>
        <v>0</v>
      </c>
    </row>
    <row r="26" spans="1:6" ht="15.75" thickBot="1" x14ac:dyDescent="0.3">
      <c r="A26" s="234"/>
      <c r="B26" s="240" t="s">
        <v>581</v>
      </c>
      <c r="C26" s="164" t="s">
        <v>80</v>
      </c>
      <c r="D26" s="241">
        <v>1</v>
      </c>
      <c r="E26" s="151">
        <v>0</v>
      </c>
      <c r="F26" s="123">
        <f t="shared" ref="F26" si="5">SUM(E26*D26)</f>
        <v>0</v>
      </c>
    </row>
    <row r="27" spans="1:6" s="8" customFormat="1" ht="97.5" thickTop="1" x14ac:dyDescent="0.25">
      <c r="A27" s="234">
        <f>A23+0.01</f>
        <v>12.209999999999996</v>
      </c>
      <c r="B27" s="152" t="s">
        <v>584</v>
      </c>
      <c r="C27" s="190" t="s">
        <v>80</v>
      </c>
      <c r="D27" s="254">
        <v>1</v>
      </c>
      <c r="E27" s="255">
        <v>0</v>
      </c>
      <c r="F27" s="256">
        <f t="shared" ref="F27:F71" si="6">D27*E27</f>
        <v>0</v>
      </c>
    </row>
    <row r="28" spans="1:6" s="8" customFormat="1" ht="48" x14ac:dyDescent="0.25">
      <c r="A28" s="234"/>
      <c r="B28" s="240" t="s">
        <v>578</v>
      </c>
      <c r="C28" s="163" t="s">
        <v>95</v>
      </c>
      <c r="D28" s="241">
        <v>1</v>
      </c>
      <c r="E28" s="151">
        <v>0</v>
      </c>
      <c r="F28" s="123">
        <f t="shared" ref="F28" si="7">SUM(E28*D28)</f>
        <v>0</v>
      </c>
    </row>
    <row r="29" spans="1:6" s="8" customFormat="1" ht="228" x14ac:dyDescent="0.25">
      <c r="A29" s="234"/>
      <c r="B29" s="240" t="s">
        <v>587</v>
      </c>
      <c r="C29" s="163" t="s">
        <v>95</v>
      </c>
      <c r="D29" s="241">
        <v>1</v>
      </c>
      <c r="E29" s="151">
        <v>0</v>
      </c>
      <c r="F29" s="123">
        <f t="shared" ref="F29" si="8">SUM(E29*D29)</f>
        <v>0</v>
      </c>
    </row>
    <row r="30" spans="1:6" s="8" customFormat="1" ht="36" x14ac:dyDescent="0.25">
      <c r="A30" s="234"/>
      <c r="B30" s="240" t="s">
        <v>579</v>
      </c>
      <c r="C30" s="163" t="s">
        <v>80</v>
      </c>
      <c r="D30" s="241">
        <v>1</v>
      </c>
      <c r="E30" s="151">
        <v>0</v>
      </c>
      <c r="F30" s="123">
        <f t="shared" ref="F30:F48" si="9">SUM(E30*D30)</f>
        <v>0</v>
      </c>
    </row>
    <row r="31" spans="1:6" s="8" customFormat="1" ht="108" x14ac:dyDescent="0.25">
      <c r="A31" s="234"/>
      <c r="B31" s="240" t="s">
        <v>501</v>
      </c>
      <c r="C31" s="164" t="s">
        <v>516</v>
      </c>
      <c r="D31" s="241">
        <v>1070</v>
      </c>
      <c r="E31" s="151">
        <v>0</v>
      </c>
      <c r="F31" s="123">
        <f t="shared" si="9"/>
        <v>0</v>
      </c>
    </row>
    <row r="32" spans="1:6" s="8" customFormat="1" ht="72" x14ac:dyDescent="0.25">
      <c r="A32" s="234"/>
      <c r="B32" s="240" t="s">
        <v>502</v>
      </c>
      <c r="C32" s="163" t="s">
        <v>95</v>
      </c>
      <c r="D32" s="241">
        <v>11</v>
      </c>
      <c r="E32" s="151">
        <v>0</v>
      </c>
      <c r="F32" s="123">
        <f t="shared" si="9"/>
        <v>0</v>
      </c>
    </row>
    <row r="33" spans="1:6" s="8" customFormat="1" ht="48" x14ac:dyDescent="0.25">
      <c r="A33" s="234"/>
      <c r="B33" s="240" t="s">
        <v>586</v>
      </c>
      <c r="C33" s="163" t="s">
        <v>95</v>
      </c>
      <c r="D33" s="241">
        <v>1</v>
      </c>
      <c r="E33" s="151">
        <v>0</v>
      </c>
      <c r="F33" s="123">
        <f t="shared" si="9"/>
        <v>0</v>
      </c>
    </row>
    <row r="34" spans="1:6" s="8" customFormat="1" ht="180" x14ac:dyDescent="0.25">
      <c r="A34" s="234"/>
      <c r="B34" s="240" t="s">
        <v>588</v>
      </c>
      <c r="C34" s="163" t="s">
        <v>95</v>
      </c>
      <c r="D34" s="241">
        <v>7</v>
      </c>
      <c r="E34" s="151">
        <v>0</v>
      </c>
      <c r="F34" s="123"/>
    </row>
    <row r="35" spans="1:6" s="8" customFormat="1" ht="144" x14ac:dyDescent="0.25">
      <c r="A35" s="234"/>
      <c r="B35" s="240" t="s">
        <v>585</v>
      </c>
      <c r="C35" s="163" t="s">
        <v>95</v>
      </c>
      <c r="D35" s="241">
        <v>66</v>
      </c>
      <c r="E35" s="151">
        <v>0</v>
      </c>
      <c r="F35" s="123">
        <f t="shared" si="9"/>
        <v>0</v>
      </c>
    </row>
    <row r="36" spans="1:6" s="8" customFormat="1" ht="72.75" thickBot="1" x14ac:dyDescent="0.3">
      <c r="A36" s="234"/>
      <c r="B36" s="240" t="s">
        <v>500</v>
      </c>
      <c r="C36" s="163" t="s">
        <v>95</v>
      </c>
      <c r="D36" s="241">
        <v>1</v>
      </c>
      <c r="E36" s="151">
        <v>0</v>
      </c>
      <c r="F36" s="123">
        <f t="shared" si="9"/>
        <v>0</v>
      </c>
    </row>
    <row r="37" spans="1:6" s="8" customFormat="1" ht="122.25" thickTop="1" thickBot="1" x14ac:dyDescent="0.3">
      <c r="A37" s="234">
        <f>A27+0.01</f>
        <v>12.219999999999995</v>
      </c>
      <c r="B37" s="242" t="s">
        <v>608</v>
      </c>
      <c r="C37" s="243" t="s">
        <v>80</v>
      </c>
      <c r="D37" s="244">
        <v>1</v>
      </c>
      <c r="E37" s="179">
        <v>0</v>
      </c>
      <c r="F37" s="180">
        <f t="shared" si="9"/>
        <v>0</v>
      </c>
    </row>
    <row r="38" spans="1:6" s="8" customFormat="1" ht="73.5" thickTop="1" x14ac:dyDescent="0.25">
      <c r="A38" s="234">
        <f t="shared" si="1"/>
        <v>12.229999999999995</v>
      </c>
      <c r="B38" s="245" t="s">
        <v>609</v>
      </c>
      <c r="C38" s="163" t="s">
        <v>80</v>
      </c>
      <c r="D38" s="241">
        <v>1</v>
      </c>
      <c r="E38" s="149">
        <v>0</v>
      </c>
      <c r="F38" s="122">
        <f t="shared" si="9"/>
        <v>0</v>
      </c>
    </row>
    <row r="39" spans="1:6" s="8" customFormat="1" ht="16.5" x14ac:dyDescent="0.25">
      <c r="A39" s="234"/>
      <c r="B39" s="240" t="s">
        <v>492</v>
      </c>
      <c r="C39" s="164" t="s">
        <v>95</v>
      </c>
      <c r="D39" s="241">
        <v>4</v>
      </c>
      <c r="E39" s="151">
        <v>0</v>
      </c>
      <c r="F39" s="123">
        <f t="shared" si="9"/>
        <v>0</v>
      </c>
    </row>
    <row r="40" spans="1:6" s="8" customFormat="1" ht="16.5" x14ac:dyDescent="0.25">
      <c r="A40" s="234"/>
      <c r="B40" s="240" t="s">
        <v>493</v>
      </c>
      <c r="C40" s="164" t="s">
        <v>95</v>
      </c>
      <c r="D40" s="241">
        <v>4</v>
      </c>
      <c r="E40" s="151">
        <v>0</v>
      </c>
      <c r="F40" s="123">
        <f t="shared" si="9"/>
        <v>0</v>
      </c>
    </row>
    <row r="41" spans="1:6" s="8" customFormat="1" ht="16.5" x14ac:dyDescent="0.25">
      <c r="A41" s="234"/>
      <c r="B41" s="240" t="s">
        <v>494</v>
      </c>
      <c r="C41" s="164" t="s">
        <v>491</v>
      </c>
      <c r="D41" s="241">
        <f>80</f>
        <v>80</v>
      </c>
      <c r="E41" s="151">
        <v>0</v>
      </c>
      <c r="F41" s="123">
        <f t="shared" si="9"/>
        <v>0</v>
      </c>
    </row>
    <row r="42" spans="1:6" s="8" customFormat="1" ht="16.5" x14ac:dyDescent="0.25">
      <c r="A42" s="234"/>
      <c r="B42" s="240" t="s">
        <v>495</v>
      </c>
      <c r="C42" s="163" t="s">
        <v>491</v>
      </c>
      <c r="D42" s="241">
        <v>4</v>
      </c>
      <c r="E42" s="151">
        <v>0</v>
      </c>
      <c r="F42" s="123">
        <f t="shared" si="9"/>
        <v>0</v>
      </c>
    </row>
    <row r="43" spans="1:6" s="8" customFormat="1" ht="16.5" x14ac:dyDescent="0.25">
      <c r="A43" s="234"/>
      <c r="B43" s="240" t="s">
        <v>496</v>
      </c>
      <c r="C43" s="163" t="s">
        <v>80</v>
      </c>
      <c r="D43" s="241">
        <v>1</v>
      </c>
      <c r="E43" s="151">
        <v>0</v>
      </c>
      <c r="F43" s="123">
        <f t="shared" si="9"/>
        <v>0</v>
      </c>
    </row>
    <row r="44" spans="1:6" s="8" customFormat="1" ht="16.5" x14ac:dyDescent="0.25">
      <c r="A44" s="234"/>
      <c r="B44" s="240" t="s">
        <v>497</v>
      </c>
      <c r="C44" s="163" t="s">
        <v>80</v>
      </c>
      <c r="D44" s="241">
        <v>1</v>
      </c>
      <c r="E44" s="151">
        <v>0</v>
      </c>
      <c r="F44" s="123">
        <f t="shared" si="9"/>
        <v>0</v>
      </c>
    </row>
    <row r="45" spans="1:6" s="8" customFormat="1" ht="24" x14ac:dyDescent="0.25">
      <c r="A45" s="234"/>
      <c r="B45" s="240" t="s">
        <v>498</v>
      </c>
      <c r="C45" s="163" t="s">
        <v>95</v>
      </c>
      <c r="D45" s="241">
        <v>4</v>
      </c>
      <c r="E45" s="151">
        <v>0</v>
      </c>
      <c r="F45" s="123">
        <f t="shared" si="9"/>
        <v>0</v>
      </c>
    </row>
    <row r="46" spans="1:6" s="8" customFormat="1" ht="17.25" thickBot="1" x14ac:dyDescent="0.3">
      <c r="A46" s="234"/>
      <c r="B46" s="246" t="s">
        <v>499</v>
      </c>
      <c r="C46" s="247" t="s">
        <v>95</v>
      </c>
      <c r="D46" s="248">
        <v>4</v>
      </c>
      <c r="E46" s="197">
        <v>0</v>
      </c>
      <c r="F46" s="198">
        <f t="shared" si="9"/>
        <v>0</v>
      </c>
    </row>
    <row r="47" spans="1:6" ht="109.5" thickTop="1" x14ac:dyDescent="0.25">
      <c r="A47" s="234">
        <f>A38+0.01</f>
        <v>12.239999999999995</v>
      </c>
      <c r="B47" s="136" t="s">
        <v>96</v>
      </c>
      <c r="C47" s="163" t="s">
        <v>95</v>
      </c>
      <c r="D47" s="148">
        <v>4</v>
      </c>
      <c r="E47" s="149">
        <v>0</v>
      </c>
      <c r="F47" s="122">
        <f t="shared" si="9"/>
        <v>0</v>
      </c>
    </row>
    <row r="48" spans="1:6" ht="109.5" thickBot="1" x14ac:dyDescent="0.3">
      <c r="A48" s="234">
        <f t="shared" si="1"/>
        <v>12.249999999999995</v>
      </c>
      <c r="B48" s="134" t="s">
        <v>97</v>
      </c>
      <c r="C48" s="167" t="s">
        <v>95</v>
      </c>
      <c r="D48" s="168">
        <v>4</v>
      </c>
      <c r="E48" s="169">
        <v>0</v>
      </c>
      <c r="F48" s="115">
        <f t="shared" si="9"/>
        <v>0</v>
      </c>
    </row>
    <row r="49" spans="1:6" s="9" customFormat="1" ht="61.5" thickTop="1" x14ac:dyDescent="0.25">
      <c r="A49" s="234">
        <f t="shared" si="1"/>
        <v>12.259999999999994</v>
      </c>
      <c r="B49" s="152" t="s">
        <v>410</v>
      </c>
      <c r="C49" s="235"/>
      <c r="D49" s="236"/>
      <c r="E49" s="237"/>
      <c r="F49" s="199"/>
    </row>
    <row r="50" spans="1:6" s="8" customFormat="1" ht="24.75" x14ac:dyDescent="0.25">
      <c r="A50" s="234">
        <f>A49+0.01</f>
        <v>12.269999999999994</v>
      </c>
      <c r="B50" s="232" t="s">
        <v>590</v>
      </c>
      <c r="C50" s="229"/>
      <c r="D50" s="230"/>
      <c r="E50" s="231"/>
      <c r="F50" s="156"/>
    </row>
    <row r="51" spans="1:6" s="8" customFormat="1" ht="228.75" x14ac:dyDescent="0.25">
      <c r="A51" s="234"/>
      <c r="B51" s="143" t="s">
        <v>604</v>
      </c>
      <c r="C51" s="229" t="s">
        <v>516</v>
      </c>
      <c r="D51" s="230">
        <v>880</v>
      </c>
      <c r="E51" s="231">
        <v>0</v>
      </c>
      <c r="F51" s="156">
        <f t="shared" ref="F51:F57" si="10">D51*E51</f>
        <v>0</v>
      </c>
    </row>
    <row r="52" spans="1:6" s="8" customFormat="1" ht="36.75" x14ac:dyDescent="0.25">
      <c r="A52" s="234"/>
      <c r="B52" s="143" t="s">
        <v>605</v>
      </c>
      <c r="C52" s="153" t="s">
        <v>80</v>
      </c>
      <c r="D52" s="154">
        <v>1</v>
      </c>
      <c r="E52" s="155">
        <v>0</v>
      </c>
      <c r="F52" s="156">
        <f t="shared" si="10"/>
        <v>0</v>
      </c>
    </row>
    <row r="53" spans="1:6" s="8" customFormat="1" ht="36.75" x14ac:dyDescent="0.25">
      <c r="A53" s="234"/>
      <c r="B53" s="143" t="s">
        <v>606</v>
      </c>
      <c r="C53" s="153" t="s">
        <v>80</v>
      </c>
      <c r="D53" s="154">
        <v>1</v>
      </c>
      <c r="E53" s="155">
        <v>0</v>
      </c>
      <c r="F53" s="156">
        <f t="shared" ref="F53" si="11">D53*E53</f>
        <v>0</v>
      </c>
    </row>
    <row r="54" spans="1:6" s="8" customFormat="1" ht="24" x14ac:dyDescent="0.25">
      <c r="A54" s="234"/>
      <c r="B54" s="239" t="s">
        <v>589</v>
      </c>
      <c r="C54" s="153" t="s">
        <v>80</v>
      </c>
      <c r="D54" s="154">
        <v>1</v>
      </c>
      <c r="E54" s="155">
        <v>0</v>
      </c>
      <c r="F54" s="156">
        <f t="shared" si="10"/>
        <v>0</v>
      </c>
    </row>
    <row r="55" spans="1:6" s="8" customFormat="1" ht="132.75" x14ac:dyDescent="0.25">
      <c r="A55" s="234"/>
      <c r="B55" s="139" t="s">
        <v>592</v>
      </c>
      <c r="C55" s="153" t="s">
        <v>95</v>
      </c>
      <c r="D55" s="154">
        <v>2</v>
      </c>
      <c r="E55" s="155">
        <v>0</v>
      </c>
      <c r="F55" s="156">
        <f t="shared" si="10"/>
        <v>0</v>
      </c>
    </row>
    <row r="56" spans="1:6" s="8" customFormat="1" ht="180.75" x14ac:dyDescent="0.25">
      <c r="A56" s="234"/>
      <c r="B56" s="139" t="s">
        <v>593</v>
      </c>
      <c r="C56" s="153" t="s">
        <v>95</v>
      </c>
      <c r="D56" s="154">
        <v>4</v>
      </c>
      <c r="E56" s="155">
        <v>0</v>
      </c>
      <c r="F56" s="156">
        <f t="shared" si="10"/>
        <v>0</v>
      </c>
    </row>
    <row r="57" spans="1:6" s="8" customFormat="1" ht="72.75" x14ac:dyDescent="0.25">
      <c r="A57" s="234"/>
      <c r="B57" s="139" t="s">
        <v>591</v>
      </c>
      <c r="C57" s="153" t="s">
        <v>95</v>
      </c>
      <c r="D57" s="154">
        <v>3</v>
      </c>
      <c r="E57" s="155">
        <v>0</v>
      </c>
      <c r="F57" s="156">
        <f t="shared" si="10"/>
        <v>0</v>
      </c>
    </row>
    <row r="58" spans="1:6" s="8" customFormat="1" ht="24.75" x14ac:dyDescent="0.25">
      <c r="A58" s="234">
        <f>A50+0.01</f>
        <v>12.279999999999994</v>
      </c>
      <c r="B58" s="238" t="s">
        <v>594</v>
      </c>
      <c r="C58" s="229"/>
      <c r="D58" s="230"/>
      <c r="E58" s="231"/>
      <c r="F58" s="156"/>
    </row>
    <row r="59" spans="1:6" s="8" customFormat="1" ht="228.75" x14ac:dyDescent="0.25">
      <c r="A59" s="223"/>
      <c r="B59" s="139" t="s">
        <v>607</v>
      </c>
      <c r="C59" s="153" t="s">
        <v>516</v>
      </c>
      <c r="D59" s="154">
        <v>790</v>
      </c>
      <c r="E59" s="155">
        <v>0</v>
      </c>
      <c r="F59" s="156">
        <f t="shared" ref="F59:F61" si="12">D59*E59</f>
        <v>0</v>
      </c>
    </row>
    <row r="60" spans="1:6" s="8" customFormat="1" ht="36.75" x14ac:dyDescent="0.25">
      <c r="A60" s="223"/>
      <c r="B60" s="139" t="s">
        <v>601</v>
      </c>
      <c r="C60" s="153" t="s">
        <v>80</v>
      </c>
      <c r="D60" s="154">
        <v>1</v>
      </c>
      <c r="E60" s="155">
        <v>0</v>
      </c>
      <c r="F60" s="156">
        <f t="shared" si="12"/>
        <v>0</v>
      </c>
    </row>
    <row r="61" spans="1:6" s="8" customFormat="1" ht="16.5" x14ac:dyDescent="0.25">
      <c r="A61" s="223"/>
      <c r="B61" s="140" t="s">
        <v>526</v>
      </c>
      <c r="C61" s="218" t="s">
        <v>80</v>
      </c>
      <c r="D61" s="219">
        <v>1</v>
      </c>
      <c r="E61" s="220">
        <v>0</v>
      </c>
      <c r="F61" s="221">
        <f t="shared" si="12"/>
        <v>0</v>
      </c>
    </row>
    <row r="62" spans="1:6" s="8" customFormat="1" ht="144.75" x14ac:dyDescent="0.25">
      <c r="A62" s="234"/>
      <c r="B62" s="139" t="s">
        <v>595</v>
      </c>
      <c r="C62" s="153" t="s">
        <v>95</v>
      </c>
      <c r="D62" s="154">
        <v>4</v>
      </c>
      <c r="E62" s="155">
        <v>0</v>
      </c>
      <c r="F62" s="156">
        <f>D62*E62</f>
        <v>0</v>
      </c>
    </row>
    <row r="63" spans="1:6" s="8" customFormat="1" ht="132.75" x14ac:dyDescent="0.25">
      <c r="A63" s="234"/>
      <c r="B63" s="140" t="s">
        <v>596</v>
      </c>
      <c r="C63" s="153" t="s">
        <v>95</v>
      </c>
      <c r="D63" s="154">
        <v>4</v>
      </c>
      <c r="E63" s="155">
        <v>0</v>
      </c>
      <c r="F63" s="156">
        <f>D63*E63</f>
        <v>0</v>
      </c>
    </row>
    <row r="64" spans="1:6" s="8" customFormat="1" ht="60.75" x14ac:dyDescent="0.25">
      <c r="A64" s="234"/>
      <c r="B64" s="140" t="s">
        <v>597</v>
      </c>
      <c r="C64" s="153" t="s">
        <v>95</v>
      </c>
      <c r="D64" s="154">
        <v>35</v>
      </c>
      <c r="E64" s="155">
        <v>0</v>
      </c>
      <c r="F64" s="156">
        <f>D64*E64</f>
        <v>0</v>
      </c>
    </row>
    <row r="65" spans="1:6" s="8" customFormat="1" ht="24.75" x14ac:dyDescent="0.25">
      <c r="A65" s="234">
        <f>A58+0.01</f>
        <v>12.289999999999994</v>
      </c>
      <c r="B65" s="238" t="s">
        <v>599</v>
      </c>
      <c r="C65" s="229"/>
      <c r="D65" s="230"/>
      <c r="E65" s="231"/>
      <c r="F65" s="156"/>
    </row>
    <row r="66" spans="1:6" s="8" customFormat="1" ht="228.75" x14ac:dyDescent="0.25">
      <c r="A66" s="234"/>
      <c r="B66" s="140" t="s">
        <v>598</v>
      </c>
      <c r="C66" s="153" t="s">
        <v>516</v>
      </c>
      <c r="D66" s="154">
        <v>370</v>
      </c>
      <c r="E66" s="155">
        <v>0</v>
      </c>
      <c r="F66" s="156">
        <f t="shared" si="6"/>
        <v>0</v>
      </c>
    </row>
    <row r="67" spans="1:6" s="8" customFormat="1" ht="36.75" x14ac:dyDescent="0.25">
      <c r="A67" s="223"/>
      <c r="B67" s="139" t="s">
        <v>601</v>
      </c>
      <c r="C67" s="153" t="s">
        <v>80</v>
      </c>
      <c r="D67" s="154">
        <v>1</v>
      </c>
      <c r="E67" s="155">
        <v>0</v>
      </c>
      <c r="F67" s="156">
        <f t="shared" si="6"/>
        <v>0</v>
      </c>
    </row>
    <row r="68" spans="1:6" s="8" customFormat="1" ht="60.75" x14ac:dyDescent="0.25">
      <c r="A68" s="234"/>
      <c r="B68" s="140" t="s">
        <v>600</v>
      </c>
      <c r="C68" s="153" t="s">
        <v>95</v>
      </c>
      <c r="D68" s="154">
        <v>42</v>
      </c>
      <c r="E68" s="155">
        <v>0</v>
      </c>
      <c r="F68" s="156">
        <f>D68*E68</f>
        <v>0</v>
      </c>
    </row>
    <row r="69" spans="1:6" s="8" customFormat="1" ht="16.5" x14ac:dyDescent="0.25">
      <c r="A69" s="223"/>
      <c r="B69" s="140" t="s">
        <v>526</v>
      </c>
      <c r="C69" s="218" t="s">
        <v>80</v>
      </c>
      <c r="D69" s="219">
        <v>1</v>
      </c>
      <c r="E69" s="220">
        <v>0</v>
      </c>
      <c r="F69" s="221">
        <f t="shared" si="6"/>
        <v>0</v>
      </c>
    </row>
    <row r="70" spans="1:6" ht="120.75" x14ac:dyDescent="0.25">
      <c r="A70" s="234"/>
      <c r="B70" s="139" t="s">
        <v>602</v>
      </c>
      <c r="C70" s="164" t="s">
        <v>516</v>
      </c>
      <c r="D70" s="150">
        <v>414</v>
      </c>
      <c r="E70" s="151">
        <v>0</v>
      </c>
      <c r="F70" s="123">
        <f>SUM(E70*D70)</f>
        <v>0</v>
      </c>
    </row>
    <row r="71" spans="1:6" s="8" customFormat="1" ht="133.5" thickBot="1" x14ac:dyDescent="0.3">
      <c r="A71" s="234"/>
      <c r="B71" s="140" t="s">
        <v>603</v>
      </c>
      <c r="C71" s="153" t="s">
        <v>95</v>
      </c>
      <c r="D71" s="154">
        <v>2</v>
      </c>
      <c r="E71" s="155">
        <v>0</v>
      </c>
      <c r="F71" s="156">
        <f t="shared" si="6"/>
        <v>0</v>
      </c>
    </row>
    <row r="72" spans="1:6" ht="16.5" thickTop="1" thickBot="1" x14ac:dyDescent="0.3">
      <c r="A72" s="50"/>
      <c r="B72" s="51"/>
      <c r="C72" s="165"/>
      <c r="D72" s="97"/>
      <c r="E72" s="98"/>
      <c r="F72" s="99">
        <f>SUM(F4:F71)</f>
        <v>0</v>
      </c>
    </row>
    <row r="73" spans="1:6" ht="15.75" thickTop="1" x14ac:dyDescent="0.25">
      <c r="E73" s="100"/>
    </row>
    <row r="74" spans="1:6" x14ac:dyDescent="0.25">
      <c r="A74" s="2"/>
      <c r="B74" s="5"/>
    </row>
    <row r="75" spans="1:6" x14ac:dyDescent="0.25">
      <c r="A75" s="2"/>
      <c r="B75" s="3"/>
    </row>
    <row r="76" spans="1:6" x14ac:dyDescent="0.25">
      <c r="A76" s="2"/>
      <c r="B76" s="4"/>
    </row>
    <row r="77" spans="1:6" x14ac:dyDescent="0.25">
      <c r="A77" s="2"/>
      <c r="B77" s="5"/>
    </row>
    <row r="78" spans="1:6" x14ac:dyDescent="0.25">
      <c r="A78" s="2"/>
      <c r="B78" s="6"/>
    </row>
    <row r="79" spans="1:6" x14ac:dyDescent="0.25">
      <c r="A79" s="2"/>
      <c r="B79" s="3"/>
    </row>
    <row r="80" spans="1:6" x14ac:dyDescent="0.25">
      <c r="A80" s="2"/>
      <c r="B80" s="6"/>
    </row>
    <row r="81" spans="1:2" x14ac:dyDescent="0.25">
      <c r="A81" s="2"/>
      <c r="B81" s="3"/>
    </row>
    <row r="82" spans="1:2" x14ac:dyDescent="0.25">
      <c r="A82" s="2"/>
      <c r="B82" s="5"/>
    </row>
    <row r="83" spans="1:2" x14ac:dyDescent="0.25">
      <c r="A83" s="2"/>
      <c r="B83" s="3"/>
    </row>
    <row r="84" spans="1:2" x14ac:dyDescent="0.25">
      <c r="A84" s="2"/>
      <c r="B84" s="3"/>
    </row>
    <row r="85" spans="1:2" x14ac:dyDescent="0.25">
      <c r="A85" s="2"/>
      <c r="B85" s="3"/>
    </row>
    <row r="86" spans="1:2" x14ac:dyDescent="0.25">
      <c r="A86" s="2"/>
      <c r="B86" s="3"/>
    </row>
    <row r="87" spans="1:2" x14ac:dyDescent="0.25">
      <c r="A87" s="2"/>
      <c r="B87" s="23"/>
    </row>
  </sheetData>
  <mergeCells count="2">
    <mergeCell ref="A1:F1"/>
    <mergeCell ref="A3:B3"/>
  </mergeCells>
  <printOptions horizontalCentered="1"/>
  <pageMargins left="0.39370078740157483" right="0.39370078740157483" top="0.39370078740157483" bottom="0.59055118110236227" header="0.31496062992125984" footer="0.31496062992125984"/>
  <pageSetup paperSize="9" orientation="landscape" r:id="rId1"/>
  <headerFooter>
    <oddFooter>&amp;L&amp;8CONCEPTION ET ADAPTATION ARCHITECTURALE-STRUCTURALE DES PLAN TYPES DE CENTRES PUBLICS DE FORMATION PROFESSIONNELLE ET D’ETUDES TECHNIQUES EN VUE DE LA CONSTRUCTION DU CENTRE PROFESSIONNELLE DES CAYES</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031EC0-B282-4B26-9A69-46618678790C}">
  <sheetPr>
    <tabColor rgb="FFFFC000"/>
  </sheetPr>
  <dimension ref="A1:T43"/>
  <sheetViews>
    <sheetView tabSelected="1" topLeftCell="A37" zoomScaleNormal="100" workbookViewId="0">
      <selection activeCell="C2" sqref="C2"/>
    </sheetView>
  </sheetViews>
  <sheetFormatPr defaultColWidth="11.5703125" defaultRowHeight="15" x14ac:dyDescent="0.25"/>
  <cols>
    <col min="1" max="1" width="5.7109375" style="181" customWidth="1"/>
    <col min="2" max="2" width="85.42578125" style="107" customWidth="1"/>
    <col min="3" max="3" width="8.28515625" style="107" customWidth="1"/>
    <col min="4" max="4" width="3.7109375" style="107" customWidth="1"/>
    <col min="5" max="6" width="10" style="107" customWidth="1"/>
    <col min="7" max="7" width="14.85546875" style="107" customWidth="1"/>
    <col min="8" max="16384" width="11.5703125" style="107"/>
  </cols>
  <sheetData>
    <row r="1" spans="1:7" customFormat="1" ht="33.950000000000003" customHeight="1" thickTop="1" thickBot="1" x14ac:dyDescent="0.3">
      <c r="A1" s="356" t="s">
        <v>112</v>
      </c>
      <c r="B1" s="357"/>
      <c r="C1" s="357"/>
      <c r="D1" s="357"/>
      <c r="E1" s="357"/>
      <c r="F1" s="357"/>
      <c r="G1" s="358"/>
    </row>
    <row r="2" spans="1:7" customFormat="1" ht="16.5" thickTop="1" thickBot="1" x14ac:dyDescent="0.3">
      <c r="A2" s="181"/>
      <c r="B2" s="22"/>
      <c r="C2" s="1" t="s">
        <v>615</v>
      </c>
      <c r="D2" s="1"/>
      <c r="E2" s="92" t="s">
        <v>4</v>
      </c>
      <c r="F2" s="93" t="s">
        <v>5</v>
      </c>
      <c r="G2" s="92" t="s">
        <v>6</v>
      </c>
    </row>
    <row r="3" spans="1:7" customFormat="1" ht="16.5" thickTop="1" thickBot="1" x14ac:dyDescent="0.3">
      <c r="A3" s="354" t="s">
        <v>391</v>
      </c>
      <c r="B3" s="355"/>
      <c r="C3" s="53">
        <f>15.28</f>
        <v>15.28</v>
      </c>
      <c r="D3" s="54" t="s">
        <v>0</v>
      </c>
      <c r="E3" s="94"/>
      <c r="F3" s="95"/>
      <c r="G3" s="96"/>
    </row>
    <row r="4" spans="1:7" s="108" customFormat="1" ht="61.5" thickTop="1" x14ac:dyDescent="0.25">
      <c r="A4" s="182" t="s">
        <v>392</v>
      </c>
      <c r="B4" s="137" t="s">
        <v>99</v>
      </c>
      <c r="C4" s="112" t="s">
        <v>2</v>
      </c>
      <c r="D4" s="113"/>
      <c r="E4" s="130">
        <f>15.28*1.05</f>
        <v>16.044</v>
      </c>
      <c r="F4" s="114">
        <v>0</v>
      </c>
      <c r="G4" s="115">
        <f t="shared" ref="G4:G19" si="0">SUM(F4*E4)</f>
        <v>0</v>
      </c>
    </row>
    <row r="5" spans="1:7" ht="72.75" x14ac:dyDescent="0.25">
      <c r="A5" s="147" t="s">
        <v>394</v>
      </c>
      <c r="B5" s="135" t="s">
        <v>490</v>
      </c>
      <c r="C5" s="116" t="s">
        <v>2</v>
      </c>
      <c r="D5" s="117"/>
      <c r="E5" s="118">
        <f>15.28*0.75</f>
        <v>11.459999999999999</v>
      </c>
      <c r="F5" s="114">
        <v>0</v>
      </c>
      <c r="G5" s="115">
        <f t="shared" si="0"/>
        <v>0</v>
      </c>
    </row>
    <row r="6" spans="1:7" s="108" customFormat="1" ht="24.75" x14ac:dyDescent="0.25">
      <c r="A6" s="147" t="s">
        <v>395</v>
      </c>
      <c r="B6" s="138" t="s">
        <v>88</v>
      </c>
      <c r="C6" s="119" t="s">
        <v>2</v>
      </c>
      <c r="D6" s="120"/>
      <c r="E6" s="118">
        <f>((1.25*2)+(1.9*0.5)+(2.8*0.5)+(1.65*0.4)+(1.6*0.4)+(2.6*0.8))*0.1</f>
        <v>0.82300000000000006</v>
      </c>
      <c r="F6" s="114">
        <v>0</v>
      </c>
      <c r="G6" s="115">
        <f t="shared" si="0"/>
        <v>0</v>
      </c>
    </row>
    <row r="7" spans="1:7" s="108" customFormat="1" ht="25.7" customHeight="1" x14ac:dyDescent="0.25">
      <c r="A7" s="147" t="s">
        <v>396</v>
      </c>
      <c r="B7" s="138" t="s">
        <v>437</v>
      </c>
      <c r="C7" s="119" t="s">
        <v>2</v>
      </c>
      <c r="D7" s="120"/>
      <c r="E7" s="118">
        <f>((1.25*2)+(1.9*0.5)+(2.8*0.5)+(1.65*0.4)+(1.6*0.4)+(2.6*0.8))*0.15</f>
        <v>1.2344999999999999</v>
      </c>
      <c r="F7" s="114">
        <v>0</v>
      </c>
      <c r="G7" s="115">
        <f t="shared" si="0"/>
        <v>0</v>
      </c>
    </row>
    <row r="8" spans="1:7" s="108" customFormat="1" ht="48.75" x14ac:dyDescent="0.25">
      <c r="A8" s="147" t="s">
        <v>397</v>
      </c>
      <c r="B8" s="138" t="s">
        <v>89</v>
      </c>
      <c r="C8" s="119" t="s">
        <v>2</v>
      </c>
      <c r="D8" s="120"/>
      <c r="E8" s="118">
        <f>((1.25*2)+(1.9*0.5)+(2.8*0.5)+(1.65*0.4)+(1.6*0.4)+(2.6*0.8))*0.1</f>
        <v>0.82300000000000006</v>
      </c>
      <c r="F8" s="114">
        <v>0</v>
      </c>
      <c r="G8" s="115">
        <f t="shared" si="0"/>
        <v>0</v>
      </c>
    </row>
    <row r="9" spans="1:7" s="108" customFormat="1" ht="144.75" x14ac:dyDescent="0.25">
      <c r="A9" s="147" t="s">
        <v>398</v>
      </c>
      <c r="B9" s="138" t="s">
        <v>98</v>
      </c>
      <c r="C9" s="119" t="s">
        <v>2</v>
      </c>
      <c r="D9" s="120"/>
      <c r="E9" s="118">
        <v>7.76</v>
      </c>
      <c r="F9" s="114">
        <v>0</v>
      </c>
      <c r="G9" s="115">
        <f t="shared" si="0"/>
        <v>0</v>
      </c>
    </row>
    <row r="10" spans="1:7" s="108" customFormat="1" ht="108.75" x14ac:dyDescent="0.25">
      <c r="A10" s="147" t="s">
        <v>393</v>
      </c>
      <c r="B10" s="138" t="s">
        <v>103</v>
      </c>
      <c r="C10" s="119" t="s">
        <v>2</v>
      </c>
      <c r="D10" s="120"/>
      <c r="E10" s="118">
        <f>4.05+19.1</f>
        <v>23.150000000000002</v>
      </c>
      <c r="F10" s="114">
        <v>0</v>
      </c>
      <c r="G10" s="115">
        <f t="shared" si="0"/>
        <v>0</v>
      </c>
    </row>
    <row r="11" spans="1:7" s="108" customFormat="1" ht="96.75" x14ac:dyDescent="0.25">
      <c r="A11" s="147" t="s">
        <v>399</v>
      </c>
      <c r="B11" s="138" t="s">
        <v>90</v>
      </c>
      <c r="C11" s="119" t="s">
        <v>2</v>
      </c>
      <c r="D11" s="120"/>
      <c r="E11" s="118">
        <v>1.37</v>
      </c>
      <c r="F11" s="114">
        <v>0</v>
      </c>
      <c r="G11" s="115">
        <f t="shared" si="0"/>
        <v>0</v>
      </c>
    </row>
    <row r="12" spans="1:7" s="108" customFormat="1" ht="96.75" x14ac:dyDescent="0.25">
      <c r="A12" s="147" t="s">
        <v>400</v>
      </c>
      <c r="B12" s="138" t="s">
        <v>104</v>
      </c>
      <c r="C12" s="119" t="s">
        <v>2</v>
      </c>
      <c r="E12" s="118">
        <f>4.82*0.25</f>
        <v>1.2050000000000001</v>
      </c>
      <c r="F12" s="114">
        <v>0</v>
      </c>
      <c r="G12" s="115">
        <f t="shared" si="0"/>
        <v>0</v>
      </c>
    </row>
    <row r="13" spans="1:7" s="108" customFormat="1" ht="132.75" x14ac:dyDescent="0.25">
      <c r="A13" s="147" t="s">
        <v>401</v>
      </c>
      <c r="B13" s="138" t="s">
        <v>105</v>
      </c>
      <c r="C13" s="119" t="s">
        <v>0</v>
      </c>
      <c r="D13" s="120"/>
      <c r="E13" s="119">
        <f>+(3.7+2.5)*0.4</f>
        <v>2.4800000000000004</v>
      </c>
      <c r="F13" s="114">
        <v>0</v>
      </c>
      <c r="G13" s="115">
        <f t="shared" si="0"/>
        <v>0</v>
      </c>
    </row>
    <row r="14" spans="1:7" s="108" customFormat="1" ht="60.75" x14ac:dyDescent="0.25">
      <c r="A14" s="147" t="s">
        <v>402</v>
      </c>
      <c r="B14" s="144" t="s">
        <v>110</v>
      </c>
      <c r="C14" s="119" t="s">
        <v>3</v>
      </c>
      <c r="D14" s="120"/>
      <c r="E14" s="119">
        <v>40</v>
      </c>
      <c r="F14" s="114">
        <v>0</v>
      </c>
      <c r="G14" s="115">
        <f t="shared" si="0"/>
        <v>0</v>
      </c>
    </row>
    <row r="15" spans="1:7" s="108" customFormat="1" ht="25.5" x14ac:dyDescent="0.25">
      <c r="A15" s="147" t="s">
        <v>403</v>
      </c>
      <c r="B15" s="138" t="s">
        <v>111</v>
      </c>
      <c r="C15" s="119" t="s">
        <v>3</v>
      </c>
      <c r="D15" s="120"/>
      <c r="E15" s="119">
        <v>11</v>
      </c>
      <c r="F15" s="114">
        <v>0</v>
      </c>
      <c r="G15" s="115">
        <f t="shared" si="0"/>
        <v>0</v>
      </c>
    </row>
    <row r="16" spans="1:7" s="108" customFormat="1" ht="132.75" x14ac:dyDescent="0.25">
      <c r="A16" s="147" t="s">
        <v>404</v>
      </c>
      <c r="B16" s="144" t="s">
        <v>109</v>
      </c>
      <c r="C16" s="119" t="s">
        <v>0</v>
      </c>
      <c r="D16" s="120"/>
      <c r="E16" s="119">
        <v>48.36</v>
      </c>
      <c r="F16" s="114">
        <v>0</v>
      </c>
      <c r="G16" s="122">
        <f t="shared" si="0"/>
        <v>0</v>
      </c>
    </row>
    <row r="17" spans="1:20" s="108" customFormat="1" ht="96.75" x14ac:dyDescent="0.25">
      <c r="A17" s="147" t="s">
        <v>405</v>
      </c>
      <c r="B17" s="144" t="s">
        <v>91</v>
      </c>
      <c r="C17" s="119" t="s">
        <v>3</v>
      </c>
      <c r="D17" s="120"/>
      <c r="E17" s="118">
        <v>1</v>
      </c>
      <c r="F17" s="114">
        <v>0</v>
      </c>
      <c r="G17" s="123">
        <f t="shared" si="0"/>
        <v>0</v>
      </c>
    </row>
    <row r="18" spans="1:20" s="108" customFormat="1" ht="96.75" x14ac:dyDescent="0.25">
      <c r="A18" s="147" t="s">
        <v>406</v>
      </c>
      <c r="B18" s="144" t="s">
        <v>108</v>
      </c>
      <c r="C18" s="119" t="s">
        <v>0</v>
      </c>
      <c r="D18" s="120"/>
      <c r="E18" s="118">
        <v>9.51</v>
      </c>
      <c r="F18" s="114">
        <v>0</v>
      </c>
      <c r="G18" s="123">
        <f t="shared" si="0"/>
        <v>0</v>
      </c>
    </row>
    <row r="19" spans="1:20" s="108" customFormat="1" ht="73.5" thickBot="1" x14ac:dyDescent="0.3">
      <c r="A19" s="147" t="s">
        <v>407</v>
      </c>
      <c r="B19" s="145" t="s">
        <v>92</v>
      </c>
      <c r="C19" s="131" t="s">
        <v>0</v>
      </c>
      <c r="D19" s="132"/>
      <c r="E19" s="133">
        <v>80.025999999999996</v>
      </c>
      <c r="F19" s="124">
        <v>0</v>
      </c>
      <c r="G19" s="115">
        <f t="shared" si="0"/>
        <v>0</v>
      </c>
    </row>
    <row r="20" spans="1:20" s="8" customFormat="1" ht="181.5" thickTop="1" x14ac:dyDescent="0.25">
      <c r="A20" s="257" t="s">
        <v>408</v>
      </c>
      <c r="B20" s="258" t="s">
        <v>610</v>
      </c>
      <c r="C20" s="249" t="s">
        <v>80</v>
      </c>
      <c r="D20" s="249"/>
      <c r="E20" s="215">
        <v>1</v>
      </c>
      <c r="F20" s="216">
        <v>0</v>
      </c>
      <c r="G20" s="217">
        <f t="shared" ref="G20" si="1">SUM(F20*E20)</f>
        <v>0</v>
      </c>
    </row>
    <row r="21" spans="1:20" s="8" customFormat="1" ht="114.75" x14ac:dyDescent="0.25">
      <c r="A21" s="259"/>
      <c r="B21" s="140" t="s">
        <v>503</v>
      </c>
      <c r="C21" s="260" t="s">
        <v>95</v>
      </c>
      <c r="D21" s="260"/>
      <c r="E21" s="261">
        <v>2</v>
      </c>
      <c r="F21" s="262">
        <v>0</v>
      </c>
      <c r="G21" s="263"/>
      <c r="I21" s="222"/>
      <c r="J21" s="222"/>
      <c r="K21" s="222"/>
      <c r="L21" s="222"/>
      <c r="M21" s="222"/>
      <c r="N21" s="222"/>
      <c r="O21" s="222"/>
      <c r="P21" s="222"/>
      <c r="Q21" s="222"/>
      <c r="R21" s="222"/>
      <c r="S21" s="7"/>
      <c r="T21" s="7"/>
    </row>
    <row r="22" spans="1:20" s="121" customFormat="1" ht="25.5" x14ac:dyDescent="0.25">
      <c r="A22" s="264"/>
      <c r="B22" s="144" t="s">
        <v>577</v>
      </c>
      <c r="C22" s="265" t="s">
        <v>80</v>
      </c>
      <c r="D22" s="265"/>
      <c r="E22" s="118">
        <v>1</v>
      </c>
      <c r="F22" s="114">
        <v>0</v>
      </c>
      <c r="G22" s="123">
        <f t="shared" ref="G22" si="2">SUM(F22*E22)</f>
        <v>0</v>
      </c>
    </row>
    <row r="23" spans="1:20" s="121" customFormat="1" ht="38.25" x14ac:dyDescent="0.25">
      <c r="A23" s="264"/>
      <c r="B23" s="266" t="s">
        <v>93</v>
      </c>
      <c r="C23" s="265" t="s">
        <v>80</v>
      </c>
      <c r="D23" s="265"/>
      <c r="E23" s="133">
        <v>1</v>
      </c>
      <c r="F23" s="124">
        <v>0</v>
      </c>
      <c r="G23" s="115">
        <f t="shared" ref="G23" si="3">SUM(F23*E23)</f>
        <v>0</v>
      </c>
    </row>
    <row r="24" spans="1:20" s="8" customFormat="1" ht="51" x14ac:dyDescent="0.25">
      <c r="A24" s="259"/>
      <c r="B24" s="139" t="s">
        <v>511</v>
      </c>
      <c r="C24" s="260" t="s">
        <v>95</v>
      </c>
      <c r="D24" s="260"/>
      <c r="E24" s="261">
        <v>3</v>
      </c>
      <c r="F24" s="262">
        <v>0</v>
      </c>
      <c r="G24" s="263"/>
      <c r="I24" s="222"/>
      <c r="J24" s="222"/>
      <c r="K24" s="222"/>
      <c r="L24" s="222"/>
      <c r="M24" s="222"/>
      <c r="N24" s="222"/>
      <c r="O24" s="222"/>
      <c r="P24" s="222"/>
      <c r="Q24" s="222"/>
      <c r="R24" s="222"/>
      <c r="S24" s="7"/>
      <c r="T24" s="7"/>
    </row>
    <row r="25" spans="1:20" s="8" customFormat="1" ht="25.5" x14ac:dyDescent="0.25">
      <c r="A25" s="259"/>
      <c r="B25" s="140" t="s">
        <v>505</v>
      </c>
      <c r="C25" s="260" t="s">
        <v>95</v>
      </c>
      <c r="D25" s="260"/>
      <c r="E25" s="261">
        <v>2</v>
      </c>
      <c r="F25" s="262">
        <v>0</v>
      </c>
      <c r="G25" s="263"/>
      <c r="I25" s="222"/>
      <c r="J25" s="222"/>
      <c r="K25" s="222"/>
      <c r="L25" s="222"/>
      <c r="M25" s="222"/>
      <c r="N25" s="222"/>
      <c r="O25" s="222"/>
      <c r="P25" s="222"/>
      <c r="Q25" s="222"/>
      <c r="R25" s="222"/>
      <c r="S25" s="7"/>
      <c r="T25" s="7"/>
    </row>
    <row r="26" spans="1:20" s="8" customFormat="1" ht="25.5" x14ac:dyDescent="0.25">
      <c r="A26" s="259"/>
      <c r="B26" s="140" t="s">
        <v>507</v>
      </c>
      <c r="C26" s="260" t="s">
        <v>95</v>
      </c>
      <c r="D26" s="260"/>
      <c r="E26" s="261">
        <v>2</v>
      </c>
      <c r="F26" s="262">
        <v>0</v>
      </c>
      <c r="G26" s="263"/>
      <c r="I26" s="222"/>
      <c r="J26" s="222"/>
      <c r="K26" s="222"/>
      <c r="L26" s="222"/>
      <c r="M26" s="222"/>
      <c r="N26" s="222"/>
      <c r="O26" s="222"/>
      <c r="P26" s="222"/>
      <c r="Q26" s="222"/>
      <c r="R26" s="222"/>
      <c r="S26" s="7"/>
      <c r="T26" s="7"/>
    </row>
    <row r="27" spans="1:20" s="7" customFormat="1" ht="51" x14ac:dyDescent="0.25">
      <c r="A27" s="259"/>
      <c r="B27" s="140" t="s">
        <v>539</v>
      </c>
      <c r="C27" s="260" t="s">
        <v>80</v>
      </c>
      <c r="D27" s="260"/>
      <c r="E27" s="261">
        <v>1</v>
      </c>
      <c r="F27" s="262">
        <v>0</v>
      </c>
      <c r="G27" s="263"/>
      <c r="I27" s="222"/>
      <c r="J27" s="222"/>
      <c r="K27" s="222"/>
      <c r="L27" s="222"/>
      <c r="M27" s="222"/>
      <c r="N27" s="222"/>
      <c r="O27" s="222"/>
      <c r="P27" s="222"/>
      <c r="Q27" s="222"/>
      <c r="R27" s="222"/>
    </row>
    <row r="28" spans="1:20" s="7" customFormat="1" ht="76.5" x14ac:dyDescent="0.25">
      <c r="A28" s="259"/>
      <c r="B28" s="140" t="s">
        <v>542</v>
      </c>
      <c r="C28" s="260" t="s">
        <v>80</v>
      </c>
      <c r="D28" s="260"/>
      <c r="E28" s="261">
        <v>1</v>
      </c>
      <c r="F28" s="262">
        <v>0</v>
      </c>
      <c r="G28" s="263"/>
      <c r="I28" s="222"/>
      <c r="J28" s="222"/>
      <c r="K28" s="222"/>
      <c r="L28" s="222"/>
      <c r="M28" s="222"/>
      <c r="N28" s="222"/>
      <c r="O28" s="222"/>
      <c r="P28" s="222"/>
      <c r="Q28" s="222"/>
      <c r="R28" s="222"/>
    </row>
    <row r="29" spans="1:20" s="7" customFormat="1" ht="63.75" x14ac:dyDescent="0.25">
      <c r="A29" s="259"/>
      <c r="B29" s="139" t="s">
        <v>541</v>
      </c>
      <c r="C29" s="260" t="s">
        <v>95</v>
      </c>
      <c r="D29" s="260"/>
      <c r="E29" s="261">
        <v>1</v>
      </c>
      <c r="F29" s="262">
        <v>0</v>
      </c>
      <c r="G29" s="263"/>
      <c r="I29" s="222"/>
      <c r="J29" s="222"/>
      <c r="K29" s="222"/>
      <c r="L29" s="222"/>
      <c r="M29" s="222"/>
      <c r="N29" s="222"/>
      <c r="O29" s="222"/>
      <c r="P29" s="222"/>
      <c r="Q29" s="222"/>
      <c r="R29" s="222"/>
    </row>
    <row r="30" spans="1:20" s="7" customFormat="1" ht="16.5" x14ac:dyDescent="0.25">
      <c r="A30" s="259"/>
      <c r="B30" s="140" t="s">
        <v>506</v>
      </c>
      <c r="C30" s="260" t="s">
        <v>80</v>
      </c>
      <c r="D30" s="260"/>
      <c r="E30" s="261">
        <v>1</v>
      </c>
      <c r="F30" s="262">
        <v>0</v>
      </c>
      <c r="G30" s="263"/>
      <c r="I30" s="222"/>
      <c r="J30" s="222"/>
      <c r="K30" s="222"/>
      <c r="L30" s="222"/>
      <c r="M30" s="222"/>
      <c r="N30" s="222"/>
      <c r="O30" s="222"/>
      <c r="P30" s="222"/>
      <c r="Q30" s="222"/>
      <c r="R30" s="222"/>
    </row>
    <row r="31" spans="1:20" s="7" customFormat="1" ht="64.5" thickBot="1" x14ac:dyDescent="0.3">
      <c r="A31" s="259"/>
      <c r="B31" s="140" t="s">
        <v>515</v>
      </c>
      <c r="C31" s="260" t="s">
        <v>80</v>
      </c>
      <c r="D31" s="260"/>
      <c r="E31" s="261">
        <v>1</v>
      </c>
      <c r="F31" s="262">
        <v>0</v>
      </c>
      <c r="G31" s="263"/>
      <c r="I31" s="222"/>
      <c r="J31" s="222"/>
      <c r="K31" s="222"/>
      <c r="L31" s="222"/>
      <c r="M31" s="222"/>
      <c r="N31" s="222"/>
      <c r="O31" s="222"/>
      <c r="P31" s="222"/>
      <c r="Q31" s="222"/>
      <c r="R31" s="222"/>
    </row>
    <row r="32" spans="1:20" s="146" customFormat="1" ht="301.5" thickTop="1" x14ac:dyDescent="0.25">
      <c r="A32" s="267" t="s">
        <v>409</v>
      </c>
      <c r="B32" s="258" t="s">
        <v>611</v>
      </c>
      <c r="C32" s="249" t="s">
        <v>80</v>
      </c>
      <c r="D32" s="249"/>
      <c r="E32" s="215">
        <v>1</v>
      </c>
      <c r="F32" s="216">
        <v>0</v>
      </c>
      <c r="G32" s="217">
        <f>SUM(F32*E32)</f>
        <v>0</v>
      </c>
    </row>
    <row r="33" spans="1:20" s="7" customFormat="1" ht="16.5" x14ac:dyDescent="0.25">
      <c r="A33" s="259"/>
      <c r="B33" s="226" t="s">
        <v>531</v>
      </c>
      <c r="C33" s="260"/>
      <c r="D33" s="260"/>
      <c r="E33" s="261"/>
      <c r="F33" s="262"/>
      <c r="G33" s="263"/>
    </row>
    <row r="34" spans="1:20" s="8" customFormat="1" ht="16.5" x14ac:dyDescent="0.25">
      <c r="A34" s="259"/>
      <c r="B34" s="139" t="s">
        <v>576</v>
      </c>
      <c r="C34" s="260" t="s">
        <v>80</v>
      </c>
      <c r="D34" s="260"/>
      <c r="E34" s="261">
        <v>1</v>
      </c>
      <c r="F34" s="262">
        <v>0</v>
      </c>
      <c r="G34" s="263">
        <f t="shared" ref="G34" si="4">E34*F34</f>
        <v>0</v>
      </c>
      <c r="I34" s="7"/>
      <c r="J34" s="7"/>
      <c r="K34" s="7"/>
      <c r="L34" s="7"/>
      <c r="M34" s="7"/>
      <c r="N34" s="7"/>
      <c r="O34" s="7"/>
      <c r="P34" s="7"/>
      <c r="Q34" s="7"/>
      <c r="R34" s="7"/>
      <c r="S34" s="7"/>
      <c r="T34" s="7"/>
    </row>
    <row r="35" spans="1:20" s="8" customFormat="1" ht="16.5" x14ac:dyDescent="0.25">
      <c r="A35" s="268"/>
      <c r="B35" s="226" t="s">
        <v>519</v>
      </c>
      <c r="C35" s="260"/>
      <c r="D35" s="260"/>
      <c r="E35" s="261"/>
      <c r="F35" s="262"/>
      <c r="G35" s="263"/>
    </row>
    <row r="36" spans="1:20" s="8" customFormat="1" ht="38.25" x14ac:dyDescent="0.25">
      <c r="A36" s="268"/>
      <c r="B36" s="139" t="s">
        <v>540</v>
      </c>
      <c r="C36" s="260" t="s">
        <v>516</v>
      </c>
      <c r="D36" s="260"/>
      <c r="E36" s="261">
        <v>46</v>
      </c>
      <c r="F36" s="262">
        <v>0</v>
      </c>
      <c r="G36" s="263">
        <f t="shared" ref="G36:G40" si="5">E36*F36</f>
        <v>0</v>
      </c>
    </row>
    <row r="37" spans="1:20" s="8" customFormat="1" ht="38.25" x14ac:dyDescent="0.25">
      <c r="A37" s="268"/>
      <c r="B37" s="139" t="s">
        <v>527</v>
      </c>
      <c r="C37" s="260" t="s">
        <v>80</v>
      </c>
      <c r="D37" s="260"/>
      <c r="E37" s="261">
        <v>1</v>
      </c>
      <c r="F37" s="262">
        <v>0</v>
      </c>
      <c r="G37" s="263">
        <f t="shared" si="5"/>
        <v>0</v>
      </c>
    </row>
    <row r="38" spans="1:20" s="8" customFormat="1" ht="16.5" x14ac:dyDescent="0.25">
      <c r="A38" s="268"/>
      <c r="B38" s="139" t="s">
        <v>520</v>
      </c>
      <c r="C38" s="260" t="s">
        <v>95</v>
      </c>
      <c r="D38" s="260"/>
      <c r="E38" s="261">
        <f>21</f>
        <v>21</v>
      </c>
      <c r="F38" s="262">
        <v>0</v>
      </c>
      <c r="G38" s="263">
        <f t="shared" si="5"/>
        <v>0</v>
      </c>
    </row>
    <row r="39" spans="1:20" s="8" customFormat="1" ht="16.5" x14ac:dyDescent="0.25">
      <c r="A39" s="268"/>
      <c r="B39" s="139" t="s">
        <v>535</v>
      </c>
      <c r="C39" s="260" t="s">
        <v>95</v>
      </c>
      <c r="D39" s="260"/>
      <c r="E39" s="261">
        <v>16</v>
      </c>
      <c r="F39" s="262">
        <v>0</v>
      </c>
      <c r="G39" s="263">
        <f t="shared" si="5"/>
        <v>0</v>
      </c>
    </row>
    <row r="40" spans="1:20" s="8" customFormat="1" ht="17.25" thickBot="1" x14ac:dyDescent="0.3">
      <c r="A40" s="268"/>
      <c r="B40" s="140" t="s">
        <v>526</v>
      </c>
      <c r="C40" s="260" t="s">
        <v>80</v>
      </c>
      <c r="D40" s="260"/>
      <c r="E40" s="261">
        <v>1</v>
      </c>
      <c r="F40" s="262">
        <v>0</v>
      </c>
      <c r="G40" s="263">
        <f t="shared" si="5"/>
        <v>0</v>
      </c>
    </row>
    <row r="41" spans="1:20" s="108" customFormat="1" ht="16.5" thickTop="1" thickBot="1" x14ac:dyDescent="0.3">
      <c r="A41" s="183"/>
      <c r="B41" s="125"/>
      <c r="C41" s="126"/>
      <c r="D41" s="126"/>
      <c r="E41" s="127"/>
      <c r="F41" s="126"/>
      <c r="G41" s="99">
        <f>SUM(G4:G40)</f>
        <v>0</v>
      </c>
    </row>
    <row r="42" spans="1:20" s="108" customFormat="1" ht="15.75" thickTop="1" x14ac:dyDescent="0.25">
      <c r="A42" s="184"/>
      <c r="B42" s="109"/>
      <c r="E42" s="110"/>
      <c r="F42" s="128"/>
      <c r="G42" s="107"/>
    </row>
    <row r="43" spans="1:20" s="108" customFormat="1" x14ac:dyDescent="0.25">
      <c r="A43" s="184"/>
      <c r="B43" s="129"/>
      <c r="E43" s="110"/>
      <c r="F43" s="111"/>
      <c r="G43" s="107"/>
    </row>
  </sheetData>
  <mergeCells count="2">
    <mergeCell ref="A3:B3"/>
    <mergeCell ref="A1:G1"/>
  </mergeCells>
  <printOptions horizontalCentered="1"/>
  <pageMargins left="0.39370078740157483" right="0.39370078740157483" top="0.39370078740157483" bottom="0.59055118110236227" header="0.31496062992125984" footer="0.31496062992125984"/>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sheetPr>
  <dimension ref="A1:T104"/>
  <sheetViews>
    <sheetView topLeftCell="A82" zoomScaleNormal="100" zoomScalePageLayoutView="55" workbookViewId="0">
      <selection activeCell="B7" sqref="B7"/>
    </sheetView>
  </sheetViews>
  <sheetFormatPr defaultColWidth="11.5703125" defaultRowHeight="15" x14ac:dyDescent="0.25"/>
  <cols>
    <col min="1" max="1" width="5.7109375" style="181" customWidth="1"/>
    <col min="2" max="2" width="85.42578125" style="22" customWidth="1"/>
    <col min="3" max="3" width="8.28515625" bestFit="1" customWidth="1"/>
    <col min="4" max="4" width="3.7109375" customWidth="1"/>
    <col min="5" max="5" width="10" style="92" customWidth="1"/>
    <col min="6" max="6" width="10" style="93" customWidth="1"/>
    <col min="7" max="7" width="14.85546875" style="92" customWidth="1"/>
  </cols>
  <sheetData>
    <row r="1" spans="1:7" ht="33.950000000000003" customHeight="1" thickTop="1" thickBot="1" x14ac:dyDescent="0.3">
      <c r="A1" s="356" t="s">
        <v>57</v>
      </c>
      <c r="B1" s="357"/>
      <c r="C1" s="357"/>
      <c r="D1" s="357"/>
      <c r="E1" s="357"/>
      <c r="F1" s="357"/>
      <c r="G1" s="358"/>
    </row>
    <row r="2" spans="1:7" ht="16.5" thickTop="1" thickBot="1" x14ac:dyDescent="0.3">
      <c r="C2" s="1" t="s">
        <v>615</v>
      </c>
      <c r="D2" s="1"/>
      <c r="E2" s="92" t="s">
        <v>4</v>
      </c>
      <c r="F2" s="93" t="s">
        <v>5</v>
      </c>
      <c r="G2" s="92" t="s">
        <v>6</v>
      </c>
    </row>
    <row r="3" spans="1:7" ht="16.5" thickTop="1" thickBot="1" x14ac:dyDescent="0.3">
      <c r="A3" s="354" t="s">
        <v>11</v>
      </c>
      <c r="B3" s="355"/>
      <c r="C3" s="53">
        <f>416.09+(179.6*50%)</f>
        <v>505.89</v>
      </c>
      <c r="D3" s="54" t="s">
        <v>0</v>
      </c>
      <c r="E3" s="94"/>
      <c r="F3" s="95"/>
      <c r="G3" s="96">
        <f>G89/C3</f>
        <v>0</v>
      </c>
    </row>
    <row r="4" spans="1:7" ht="61.5" thickTop="1" x14ac:dyDescent="0.25">
      <c r="A4" s="308" t="s">
        <v>113</v>
      </c>
      <c r="B4" s="368" t="s">
        <v>99</v>
      </c>
      <c r="C4" s="369" t="s">
        <v>2</v>
      </c>
      <c r="D4" s="370"/>
      <c r="E4" s="371">
        <v>900.9</v>
      </c>
      <c r="F4" s="372">
        <v>0</v>
      </c>
      <c r="G4" s="373">
        <f>SUM(F4*E4)</f>
        <v>0</v>
      </c>
    </row>
    <row r="5" spans="1:7" ht="72.75" x14ac:dyDescent="0.25">
      <c r="A5" s="257" t="s">
        <v>116</v>
      </c>
      <c r="B5" s="298" t="s">
        <v>490</v>
      </c>
      <c r="C5" s="269" t="s">
        <v>2</v>
      </c>
      <c r="D5" s="270"/>
      <c r="E5" s="299">
        <v>414.42</v>
      </c>
      <c r="F5" s="149">
        <v>0</v>
      </c>
      <c r="G5" s="123">
        <f>SUM(F5*E5)</f>
        <v>0</v>
      </c>
    </row>
    <row r="6" spans="1:7" ht="48.75" x14ac:dyDescent="0.25">
      <c r="A6" s="257" t="s">
        <v>117</v>
      </c>
      <c r="B6" s="298" t="s">
        <v>29</v>
      </c>
      <c r="C6" s="269" t="s">
        <v>2</v>
      </c>
      <c r="D6" s="270"/>
      <c r="E6" s="299">
        <v>29.7</v>
      </c>
      <c r="F6" s="151">
        <v>0</v>
      </c>
      <c r="G6" s="123">
        <f>SUM(F6*E6)</f>
        <v>0</v>
      </c>
    </row>
    <row r="7" spans="1:7" ht="144.75" x14ac:dyDescent="0.25">
      <c r="A7" s="257" t="s">
        <v>118</v>
      </c>
      <c r="B7" s="300" t="s">
        <v>98</v>
      </c>
      <c r="C7" s="269" t="s">
        <v>2</v>
      </c>
      <c r="D7" s="270"/>
      <c r="E7" s="299">
        <v>168.04</v>
      </c>
      <c r="F7" s="151">
        <v>0</v>
      </c>
      <c r="G7" s="123">
        <f>SUM(F7*E7)</f>
        <v>0</v>
      </c>
    </row>
    <row r="8" spans="1:7" ht="48.75" x14ac:dyDescent="0.25">
      <c r="A8" s="257" t="s">
        <v>119</v>
      </c>
      <c r="B8" s="135" t="s">
        <v>29</v>
      </c>
      <c r="C8" s="269" t="s">
        <v>2</v>
      </c>
      <c r="D8" s="270"/>
      <c r="E8" s="150">
        <f>(96.08*0.05)</f>
        <v>4.8040000000000003</v>
      </c>
      <c r="F8" s="151">
        <v>0</v>
      </c>
      <c r="G8" s="123">
        <f>SUM(F8*E8)</f>
        <v>0</v>
      </c>
    </row>
    <row r="9" spans="1:7" ht="144.75" x14ac:dyDescent="0.25">
      <c r="A9" s="257" t="s">
        <v>120</v>
      </c>
      <c r="B9" s="138" t="s">
        <v>98</v>
      </c>
      <c r="C9" s="269" t="s">
        <v>2</v>
      </c>
      <c r="D9" s="270"/>
      <c r="E9" s="150">
        <f>(37.7*10.8*0.25)+(9.6)</f>
        <v>111.39000000000001</v>
      </c>
      <c r="F9" s="151">
        <v>0</v>
      </c>
      <c r="G9" s="123">
        <f t="shared" ref="G9:G10" si="0">SUM(F9*E9)</f>
        <v>0</v>
      </c>
    </row>
    <row r="10" spans="1:7" ht="96.75" x14ac:dyDescent="0.25">
      <c r="A10" s="257" t="s">
        <v>121</v>
      </c>
      <c r="B10" s="135" t="s">
        <v>79</v>
      </c>
      <c r="C10" s="269" t="s">
        <v>0</v>
      </c>
      <c r="D10" s="270"/>
      <c r="E10" s="150">
        <f>141.32+25.96+12.32</f>
        <v>179.6</v>
      </c>
      <c r="F10" s="151">
        <v>0</v>
      </c>
      <c r="G10" s="123">
        <f t="shared" si="0"/>
        <v>0</v>
      </c>
    </row>
    <row r="11" spans="1:7" ht="30" customHeight="1" x14ac:dyDescent="0.25">
      <c r="A11" s="307"/>
      <c r="B11" s="301" t="s">
        <v>616</v>
      </c>
      <c r="C11" s="302" t="s">
        <v>2</v>
      </c>
      <c r="D11" s="303"/>
      <c r="E11" s="304">
        <v>41.36</v>
      </c>
      <c r="F11" s="305">
        <v>0</v>
      </c>
      <c r="G11" s="318"/>
    </row>
    <row r="12" spans="1:7" ht="30" customHeight="1" x14ac:dyDescent="0.25">
      <c r="A12" s="307"/>
      <c r="B12" s="301" t="s">
        <v>617</v>
      </c>
      <c r="C12" s="302" t="s">
        <v>2</v>
      </c>
      <c r="D12" s="303"/>
      <c r="E12" s="304">
        <v>116.04</v>
      </c>
      <c r="F12" s="305"/>
      <c r="G12" s="318"/>
    </row>
    <row r="13" spans="1:7" ht="30" customHeight="1" x14ac:dyDescent="0.25">
      <c r="A13" s="307"/>
      <c r="B13" s="301" t="s">
        <v>618</v>
      </c>
      <c r="C13" s="302" t="s">
        <v>2</v>
      </c>
      <c r="D13" s="303"/>
      <c r="E13" s="304">
        <v>17.41</v>
      </c>
      <c r="F13" s="305"/>
      <c r="G13" s="318"/>
    </row>
    <row r="14" spans="1:7" ht="40.5" customHeight="1" x14ac:dyDescent="0.25">
      <c r="A14" s="257" t="s">
        <v>121</v>
      </c>
      <c r="B14" s="298" t="s">
        <v>79</v>
      </c>
      <c r="C14" s="269" t="s">
        <v>0</v>
      </c>
      <c r="D14" s="270"/>
      <c r="E14" s="299">
        <f>141.32+25.96+12.32</f>
        <v>179.6</v>
      </c>
      <c r="F14" s="151">
        <v>0</v>
      </c>
      <c r="G14" s="123">
        <f t="shared" ref="G14:G19" si="1">SUM(F14*E14)</f>
        <v>0</v>
      </c>
    </row>
    <row r="15" spans="1:7" ht="40.5" customHeight="1" x14ac:dyDescent="0.25">
      <c r="A15" s="257" t="s">
        <v>122</v>
      </c>
      <c r="B15" s="298" t="s">
        <v>30</v>
      </c>
      <c r="C15" s="269" t="s">
        <v>2</v>
      </c>
      <c r="D15" s="270"/>
      <c r="E15" s="299">
        <v>6.3800000000000008</v>
      </c>
      <c r="F15" s="151">
        <v>0</v>
      </c>
      <c r="G15" s="123">
        <f t="shared" si="1"/>
        <v>0</v>
      </c>
    </row>
    <row r="16" spans="1:7" ht="40.5" customHeight="1" x14ac:dyDescent="0.25">
      <c r="A16" s="308"/>
      <c r="B16" s="306" t="s">
        <v>619</v>
      </c>
      <c r="C16" s="302" t="s">
        <v>2</v>
      </c>
      <c r="D16" s="303"/>
      <c r="E16" s="304">
        <v>8.8000000000000007</v>
      </c>
      <c r="F16" s="305">
        <v>0</v>
      </c>
      <c r="G16" s="318"/>
    </row>
    <row r="17" spans="1:7" ht="40.5" customHeight="1" x14ac:dyDescent="0.25">
      <c r="A17" s="257" t="s">
        <v>123</v>
      </c>
      <c r="B17" s="298" t="s">
        <v>31</v>
      </c>
      <c r="C17" s="269" t="s">
        <v>2</v>
      </c>
      <c r="D17" s="270"/>
      <c r="E17" s="299">
        <v>32.74</v>
      </c>
      <c r="F17" s="151">
        <v>0</v>
      </c>
      <c r="G17" s="123">
        <f t="shared" si="1"/>
        <v>0</v>
      </c>
    </row>
    <row r="18" spans="1:7" ht="40.5" customHeight="1" x14ac:dyDescent="0.25">
      <c r="A18" s="257" t="s">
        <v>124</v>
      </c>
      <c r="B18" s="298" t="s">
        <v>32</v>
      </c>
      <c r="C18" s="269" t="s">
        <v>2</v>
      </c>
      <c r="D18" s="270"/>
      <c r="E18" s="299">
        <v>38.799999999999997</v>
      </c>
      <c r="F18" s="151">
        <v>0</v>
      </c>
      <c r="G18" s="123">
        <f t="shared" si="1"/>
        <v>0</v>
      </c>
    </row>
    <row r="19" spans="1:7" ht="40.5" customHeight="1" x14ac:dyDescent="0.25">
      <c r="A19" s="257" t="s">
        <v>125</v>
      </c>
      <c r="B19" s="298" t="s">
        <v>34</v>
      </c>
      <c r="C19" s="269" t="s">
        <v>0</v>
      </c>
      <c r="D19" s="269"/>
      <c r="E19" s="299">
        <v>53.2</v>
      </c>
      <c r="F19" s="151">
        <v>0</v>
      </c>
      <c r="G19" s="123">
        <f t="shared" si="1"/>
        <v>0</v>
      </c>
    </row>
    <row r="20" spans="1:7" ht="156.75" x14ac:dyDescent="0.25">
      <c r="A20" s="257" t="s">
        <v>126</v>
      </c>
      <c r="B20" s="135" t="s">
        <v>38</v>
      </c>
      <c r="C20" s="269" t="s">
        <v>0</v>
      </c>
      <c r="D20" s="269"/>
      <c r="E20" s="150">
        <v>189.20000000000002</v>
      </c>
      <c r="F20" s="151">
        <v>0</v>
      </c>
      <c r="G20" s="123">
        <f t="shared" ref="G20:G33" si="2">SUM(F20*E20)</f>
        <v>0</v>
      </c>
    </row>
    <row r="21" spans="1:7" ht="96.75" x14ac:dyDescent="0.25">
      <c r="A21" s="257" t="s">
        <v>127</v>
      </c>
      <c r="B21" s="135" t="s">
        <v>40</v>
      </c>
      <c r="C21" s="269"/>
      <c r="D21" s="269"/>
      <c r="E21" s="150"/>
      <c r="F21" s="151"/>
      <c r="G21" s="123"/>
    </row>
    <row r="22" spans="1:7" x14ac:dyDescent="0.25">
      <c r="A22" s="257" t="s">
        <v>411</v>
      </c>
      <c r="B22" s="135" t="s">
        <v>451</v>
      </c>
      <c r="C22" s="269" t="s">
        <v>95</v>
      </c>
      <c r="D22" s="269"/>
      <c r="E22" s="150">
        <v>6</v>
      </c>
      <c r="F22" s="151">
        <v>0</v>
      </c>
      <c r="G22" s="123">
        <f t="shared" si="2"/>
        <v>0</v>
      </c>
    </row>
    <row r="23" spans="1:7" x14ac:dyDescent="0.25">
      <c r="A23" s="257" t="s">
        <v>412</v>
      </c>
      <c r="B23" s="135" t="s">
        <v>452</v>
      </c>
      <c r="C23" s="269" t="s">
        <v>95</v>
      </c>
      <c r="D23" s="269"/>
      <c r="E23" s="150">
        <f>25-8</f>
        <v>17</v>
      </c>
      <c r="F23" s="151">
        <v>0</v>
      </c>
      <c r="G23" s="123">
        <f t="shared" si="2"/>
        <v>0</v>
      </c>
    </row>
    <row r="24" spans="1:7" x14ac:dyDescent="0.25">
      <c r="A24" s="257" t="s">
        <v>413</v>
      </c>
      <c r="B24" s="135" t="s">
        <v>453</v>
      </c>
      <c r="C24" s="269" t="s">
        <v>95</v>
      </c>
      <c r="D24" s="270"/>
      <c r="E24" s="150">
        <v>8</v>
      </c>
      <c r="F24" s="151">
        <v>0</v>
      </c>
      <c r="G24" s="123">
        <f t="shared" si="2"/>
        <v>0</v>
      </c>
    </row>
    <row r="25" spans="1:7" ht="96.75" x14ac:dyDescent="0.25">
      <c r="A25" s="257" t="s">
        <v>128</v>
      </c>
      <c r="B25" s="139" t="s">
        <v>39</v>
      </c>
      <c r="C25" s="269" t="s">
        <v>95</v>
      </c>
      <c r="D25" s="270"/>
      <c r="E25" s="150">
        <v>4</v>
      </c>
      <c r="F25" s="151">
        <v>0</v>
      </c>
      <c r="G25" s="123">
        <f>SUM(F25*E25)</f>
        <v>0</v>
      </c>
    </row>
    <row r="26" spans="1:7" ht="84.75" x14ac:dyDescent="0.25">
      <c r="A26" s="257" t="s">
        <v>129</v>
      </c>
      <c r="B26" s="139" t="s">
        <v>47</v>
      </c>
      <c r="C26" s="269" t="s">
        <v>0</v>
      </c>
      <c r="D26" s="270"/>
      <c r="E26" s="150">
        <f>E27</f>
        <v>61.199999999999996</v>
      </c>
      <c r="F26" s="151">
        <v>0</v>
      </c>
      <c r="G26" s="123">
        <f t="shared" ref="G26" si="3">SUM(F26*E26)</f>
        <v>0</v>
      </c>
    </row>
    <row r="27" spans="1:7" ht="84.75" x14ac:dyDescent="0.25">
      <c r="A27" s="257" t="s">
        <v>130</v>
      </c>
      <c r="B27" s="139" t="s">
        <v>45</v>
      </c>
      <c r="C27" s="269" t="s">
        <v>0</v>
      </c>
      <c r="D27" s="270"/>
      <c r="E27" s="150">
        <f>17*(3*1.2)</f>
        <v>61.199999999999996</v>
      </c>
      <c r="F27" s="151">
        <v>0</v>
      </c>
      <c r="G27" s="123">
        <f>SUM(F27*E27)</f>
        <v>0</v>
      </c>
    </row>
    <row r="28" spans="1:7" ht="84.75" x14ac:dyDescent="0.25">
      <c r="A28" s="257" t="s">
        <v>131</v>
      </c>
      <c r="B28" s="135" t="s">
        <v>42</v>
      </c>
      <c r="C28" s="269" t="s">
        <v>0</v>
      </c>
      <c r="D28" s="270"/>
      <c r="E28" s="150">
        <f>E20*2+E19*2</f>
        <v>484.80000000000007</v>
      </c>
      <c r="F28" s="151">
        <v>0</v>
      </c>
      <c r="G28" s="123">
        <f t="shared" si="2"/>
        <v>0</v>
      </c>
    </row>
    <row r="29" spans="1:7" ht="84.75" x14ac:dyDescent="0.25">
      <c r="A29" s="257" t="s">
        <v>132</v>
      </c>
      <c r="B29" s="143" t="s">
        <v>107</v>
      </c>
      <c r="C29" s="269" t="s">
        <v>0</v>
      </c>
      <c r="D29" s="270"/>
      <c r="E29" s="150">
        <f>$C$3*0.95</f>
        <v>480.59549999999996</v>
      </c>
      <c r="F29" s="151">
        <v>0</v>
      </c>
      <c r="G29" s="123">
        <f>SUM(F29*E29)</f>
        <v>0</v>
      </c>
    </row>
    <row r="30" spans="1:7" ht="96.75" x14ac:dyDescent="0.25">
      <c r="A30" s="257" t="s">
        <v>133</v>
      </c>
      <c r="B30" s="135" t="s">
        <v>44</v>
      </c>
      <c r="C30" s="269" t="s">
        <v>0</v>
      </c>
      <c r="D30" s="269"/>
      <c r="E30" s="150">
        <v>362.34</v>
      </c>
      <c r="F30" s="151">
        <v>0</v>
      </c>
      <c r="G30" s="123">
        <f>SUM(F30*E30)</f>
        <v>0</v>
      </c>
    </row>
    <row r="31" spans="1:7" ht="72.75" x14ac:dyDescent="0.25">
      <c r="A31" s="257" t="s">
        <v>134</v>
      </c>
      <c r="B31" s="135" t="s">
        <v>43</v>
      </c>
      <c r="C31" s="269" t="s">
        <v>0</v>
      </c>
      <c r="D31" s="270"/>
      <c r="E31" s="150">
        <v>362.34</v>
      </c>
      <c r="F31" s="151">
        <v>0</v>
      </c>
      <c r="G31" s="123">
        <f>SUM(F31*E31)</f>
        <v>0</v>
      </c>
    </row>
    <row r="32" spans="1:7" ht="72.75" x14ac:dyDescent="0.25">
      <c r="A32" s="257" t="s">
        <v>135</v>
      </c>
      <c r="B32" s="135" t="s">
        <v>41</v>
      </c>
      <c r="C32" s="269" t="s">
        <v>0</v>
      </c>
      <c r="D32" s="270"/>
      <c r="E32" s="150">
        <f>56*1.2</f>
        <v>67.2</v>
      </c>
      <c r="F32" s="151">
        <v>0</v>
      </c>
      <c r="G32" s="123">
        <f>SUM(F32*E32)</f>
        <v>0</v>
      </c>
    </row>
    <row r="33" spans="1:20" ht="60.75" x14ac:dyDescent="0.25">
      <c r="A33" s="257" t="s">
        <v>136</v>
      </c>
      <c r="B33" s="135" t="s">
        <v>37</v>
      </c>
      <c r="C33" s="269" t="s">
        <v>0</v>
      </c>
      <c r="D33" s="269"/>
      <c r="E33" s="150">
        <f>(3+1.83+1.83+6.1+6.1+6.1)*2.2</f>
        <v>54.912000000000006</v>
      </c>
      <c r="F33" s="151">
        <v>0</v>
      </c>
      <c r="G33" s="123">
        <f t="shared" si="2"/>
        <v>0</v>
      </c>
    </row>
    <row r="34" spans="1:20" ht="120.75" x14ac:dyDescent="0.25">
      <c r="A34" s="257" t="s">
        <v>137</v>
      </c>
      <c r="B34" s="135" t="s">
        <v>35</v>
      </c>
      <c r="C34" s="269" t="s">
        <v>0</v>
      </c>
      <c r="D34" s="270"/>
      <c r="E34" s="150">
        <v>413.7</v>
      </c>
      <c r="F34" s="151">
        <v>0</v>
      </c>
      <c r="G34" s="123">
        <f>SUM(F34*E34)</f>
        <v>0</v>
      </c>
    </row>
    <row r="35" spans="1:20" ht="97.5" thickBot="1" x14ac:dyDescent="0.3">
      <c r="A35" s="257" t="s">
        <v>138</v>
      </c>
      <c r="B35" s="134" t="s">
        <v>36</v>
      </c>
      <c r="C35" s="271" t="s">
        <v>0</v>
      </c>
      <c r="D35" s="272"/>
      <c r="E35" s="168">
        <f>E34*1.04</f>
        <v>430.24799999999999</v>
      </c>
      <c r="F35" s="169">
        <v>0</v>
      </c>
      <c r="G35" s="115">
        <f>SUM(F35*E35)</f>
        <v>0</v>
      </c>
    </row>
    <row r="36" spans="1:20" s="8" customFormat="1" ht="181.5" thickTop="1" x14ac:dyDescent="0.25">
      <c r="A36" s="257" t="s">
        <v>139</v>
      </c>
      <c r="B36" s="258" t="s">
        <v>610</v>
      </c>
      <c r="C36" s="249" t="s">
        <v>80</v>
      </c>
      <c r="D36" s="249"/>
      <c r="E36" s="215">
        <v>1</v>
      </c>
      <c r="F36" s="216">
        <v>0</v>
      </c>
      <c r="G36" s="217">
        <f t="shared" ref="G36" si="4">SUM(F36*E36)</f>
        <v>0</v>
      </c>
    </row>
    <row r="37" spans="1:20" s="8" customFormat="1" ht="51" x14ac:dyDescent="0.25">
      <c r="A37" s="259"/>
      <c r="B37" s="139" t="s">
        <v>510</v>
      </c>
      <c r="C37" s="260" t="s">
        <v>95</v>
      </c>
      <c r="D37" s="260"/>
      <c r="E37" s="261">
        <v>15</v>
      </c>
      <c r="F37" s="262">
        <v>0</v>
      </c>
      <c r="G37" s="263"/>
      <c r="I37" s="222"/>
      <c r="J37" s="222"/>
      <c r="K37" s="222"/>
      <c r="L37" s="222"/>
      <c r="M37" s="222"/>
      <c r="N37" s="222"/>
      <c r="O37" s="222"/>
      <c r="P37" s="222"/>
      <c r="Q37" s="222"/>
      <c r="R37" s="222"/>
      <c r="S37" s="7"/>
      <c r="T37" s="7"/>
    </row>
    <row r="38" spans="1:20" s="8" customFormat="1" ht="114.75" x14ac:dyDescent="0.25">
      <c r="A38" s="259"/>
      <c r="B38" s="140" t="s">
        <v>503</v>
      </c>
      <c r="C38" s="260" t="s">
        <v>95</v>
      </c>
      <c r="D38" s="260"/>
      <c r="E38" s="261">
        <v>80</v>
      </c>
      <c r="F38" s="262">
        <v>0</v>
      </c>
      <c r="G38" s="263"/>
      <c r="I38" s="222"/>
      <c r="J38" s="222"/>
      <c r="K38" s="222"/>
      <c r="L38" s="222"/>
      <c r="M38" s="222"/>
      <c r="N38" s="222"/>
      <c r="O38" s="222"/>
      <c r="P38" s="222"/>
      <c r="Q38" s="222"/>
      <c r="R38" s="222"/>
      <c r="S38" s="7"/>
      <c r="T38" s="7"/>
    </row>
    <row r="39" spans="1:20" s="8" customFormat="1" ht="114.75" x14ac:dyDescent="0.25">
      <c r="A39" s="259"/>
      <c r="B39" s="140" t="s">
        <v>504</v>
      </c>
      <c r="C39" s="260" t="s">
        <v>95</v>
      </c>
      <c r="D39" s="260"/>
      <c r="E39" s="261">
        <v>16</v>
      </c>
      <c r="F39" s="262">
        <v>0</v>
      </c>
      <c r="G39" s="263"/>
      <c r="I39" s="222"/>
      <c r="J39" s="222"/>
      <c r="K39" s="222"/>
      <c r="L39" s="222"/>
      <c r="M39" s="222"/>
      <c r="N39" s="222"/>
      <c r="O39" s="222"/>
      <c r="P39" s="222"/>
      <c r="Q39" s="222"/>
      <c r="R39" s="222"/>
      <c r="S39" s="7"/>
      <c r="T39" s="7"/>
    </row>
    <row r="40" spans="1:20" s="8" customFormat="1" ht="51" x14ac:dyDescent="0.25">
      <c r="A40" s="259"/>
      <c r="B40" s="139" t="s">
        <v>511</v>
      </c>
      <c r="C40" s="260" t="s">
        <v>95</v>
      </c>
      <c r="D40" s="260"/>
      <c r="E40" s="261">
        <v>16</v>
      </c>
      <c r="F40" s="262">
        <v>0</v>
      </c>
      <c r="G40" s="263"/>
      <c r="I40" s="222"/>
      <c r="J40" s="222"/>
      <c r="K40" s="222"/>
      <c r="L40" s="222"/>
      <c r="M40" s="222"/>
      <c r="N40" s="222"/>
      <c r="O40" s="222"/>
      <c r="P40" s="222"/>
      <c r="Q40" s="222"/>
      <c r="R40" s="222"/>
      <c r="S40" s="7"/>
      <c r="T40" s="7"/>
    </row>
    <row r="41" spans="1:20" s="8" customFormat="1" ht="51" x14ac:dyDescent="0.25">
      <c r="A41" s="259"/>
      <c r="B41" s="139" t="s">
        <v>512</v>
      </c>
      <c r="C41" s="260" t="s">
        <v>95</v>
      </c>
      <c r="D41" s="260"/>
      <c r="E41" s="261">
        <v>15</v>
      </c>
      <c r="F41" s="262">
        <v>0</v>
      </c>
      <c r="G41" s="263"/>
      <c r="I41" s="222"/>
      <c r="J41" s="222"/>
      <c r="K41" s="222"/>
      <c r="L41" s="222"/>
      <c r="M41" s="222"/>
      <c r="N41" s="222"/>
      <c r="O41" s="222"/>
      <c r="P41" s="222"/>
      <c r="Q41" s="222"/>
      <c r="R41" s="222"/>
      <c r="S41" s="7"/>
      <c r="T41" s="7"/>
    </row>
    <row r="42" spans="1:20" s="8" customFormat="1" ht="51" x14ac:dyDescent="0.25">
      <c r="A42" s="259"/>
      <c r="B42" s="139" t="s">
        <v>513</v>
      </c>
      <c r="C42" s="260" t="s">
        <v>95</v>
      </c>
      <c r="D42" s="260"/>
      <c r="E42" s="261">
        <v>3</v>
      </c>
      <c r="F42" s="262">
        <v>0</v>
      </c>
      <c r="G42" s="263"/>
      <c r="I42" s="222"/>
      <c r="J42" s="222"/>
      <c r="K42" s="222"/>
      <c r="L42" s="222"/>
      <c r="M42" s="222"/>
      <c r="N42" s="222"/>
      <c r="O42" s="222"/>
      <c r="P42" s="222"/>
      <c r="Q42" s="222"/>
      <c r="R42" s="222"/>
      <c r="S42" s="7"/>
      <c r="T42" s="7"/>
    </row>
    <row r="43" spans="1:20" s="8" customFormat="1" ht="51" x14ac:dyDescent="0.25">
      <c r="A43" s="259"/>
      <c r="B43" s="139" t="s">
        <v>514</v>
      </c>
      <c r="C43" s="260" t="s">
        <v>95</v>
      </c>
      <c r="D43" s="260"/>
      <c r="E43" s="261">
        <v>3</v>
      </c>
      <c r="F43" s="262">
        <v>0</v>
      </c>
      <c r="G43" s="263"/>
      <c r="I43" s="222"/>
      <c r="J43" s="222"/>
      <c r="K43" s="222"/>
      <c r="L43" s="222"/>
      <c r="M43" s="222"/>
      <c r="N43" s="222"/>
      <c r="O43" s="222"/>
      <c r="P43" s="222"/>
      <c r="Q43" s="222"/>
      <c r="R43" s="222"/>
      <c r="S43" s="7"/>
      <c r="T43" s="7"/>
    </row>
    <row r="44" spans="1:20" s="8" customFormat="1" ht="25.5" x14ac:dyDescent="0.25">
      <c r="A44" s="259"/>
      <c r="B44" s="140" t="s">
        <v>505</v>
      </c>
      <c r="C44" s="260" t="s">
        <v>95</v>
      </c>
      <c r="D44" s="260"/>
      <c r="E44" s="261">
        <v>78</v>
      </c>
      <c r="F44" s="262">
        <v>0</v>
      </c>
      <c r="G44" s="263"/>
      <c r="I44" s="222"/>
      <c r="J44" s="222"/>
      <c r="K44" s="222"/>
      <c r="L44" s="222"/>
      <c r="M44" s="222"/>
      <c r="N44" s="222"/>
      <c r="O44" s="222"/>
      <c r="P44" s="222"/>
      <c r="Q44" s="222"/>
      <c r="R44" s="222"/>
      <c r="S44" s="7"/>
      <c r="T44" s="7"/>
    </row>
    <row r="45" spans="1:20" s="8" customFormat="1" ht="25.5" x14ac:dyDescent="0.25">
      <c r="A45" s="259"/>
      <c r="B45" s="140" t="s">
        <v>507</v>
      </c>
      <c r="C45" s="260" t="s">
        <v>95</v>
      </c>
      <c r="D45" s="260"/>
      <c r="E45" s="261">
        <v>8</v>
      </c>
      <c r="F45" s="262">
        <v>0</v>
      </c>
      <c r="G45" s="263"/>
      <c r="I45" s="222"/>
      <c r="J45" s="222"/>
      <c r="K45" s="222"/>
      <c r="L45" s="222"/>
      <c r="M45" s="222"/>
      <c r="N45" s="222"/>
      <c r="O45" s="222"/>
      <c r="P45" s="222"/>
      <c r="Q45" s="222"/>
      <c r="R45" s="222"/>
      <c r="S45" s="7"/>
      <c r="T45" s="7"/>
    </row>
    <row r="46" spans="1:20" s="8" customFormat="1" ht="25.5" x14ac:dyDescent="0.25">
      <c r="A46" s="259"/>
      <c r="B46" s="140" t="s">
        <v>509</v>
      </c>
      <c r="C46" s="260" t="s">
        <v>95</v>
      </c>
      <c r="D46" s="260"/>
      <c r="E46" s="261">
        <v>24</v>
      </c>
      <c r="F46" s="262">
        <v>0</v>
      </c>
      <c r="G46" s="263"/>
      <c r="I46" s="222"/>
      <c r="J46" s="222"/>
      <c r="K46" s="222"/>
      <c r="L46" s="222"/>
      <c r="M46" s="222"/>
      <c r="N46" s="222"/>
      <c r="O46" s="222"/>
      <c r="P46" s="222"/>
      <c r="Q46" s="222"/>
      <c r="R46" s="222"/>
      <c r="S46" s="7"/>
      <c r="T46" s="7"/>
    </row>
    <row r="47" spans="1:20" s="8" customFormat="1" ht="25.5" x14ac:dyDescent="0.25">
      <c r="A47" s="259"/>
      <c r="B47" s="140" t="s">
        <v>508</v>
      </c>
      <c r="C47" s="260" t="s">
        <v>95</v>
      </c>
      <c r="D47" s="260"/>
      <c r="E47" s="261">
        <v>3</v>
      </c>
      <c r="F47" s="262">
        <v>0</v>
      </c>
      <c r="G47" s="263"/>
      <c r="I47" s="222"/>
      <c r="J47" s="222"/>
      <c r="K47" s="222"/>
      <c r="L47" s="222"/>
      <c r="M47" s="222"/>
      <c r="N47" s="222"/>
      <c r="O47" s="222"/>
      <c r="P47" s="222"/>
      <c r="Q47" s="222"/>
      <c r="R47" s="222"/>
      <c r="S47" s="7"/>
      <c r="T47" s="7"/>
    </row>
    <row r="48" spans="1:20" s="7" customFormat="1" ht="51" x14ac:dyDescent="0.25">
      <c r="A48" s="259"/>
      <c r="B48" s="140" t="s">
        <v>539</v>
      </c>
      <c r="C48" s="260" t="s">
        <v>80</v>
      </c>
      <c r="D48" s="260"/>
      <c r="E48" s="261">
        <v>1</v>
      </c>
      <c r="F48" s="262">
        <v>0</v>
      </c>
      <c r="G48" s="263"/>
      <c r="I48" s="222"/>
      <c r="J48" s="222"/>
      <c r="K48" s="222"/>
      <c r="L48" s="222"/>
      <c r="M48" s="222"/>
      <c r="N48" s="222"/>
      <c r="O48" s="222"/>
      <c r="P48" s="222"/>
      <c r="Q48" s="222"/>
      <c r="R48" s="222"/>
    </row>
    <row r="49" spans="1:20" s="7" customFormat="1" ht="76.5" x14ac:dyDescent="0.25">
      <c r="A49" s="259"/>
      <c r="B49" s="140" t="s">
        <v>542</v>
      </c>
      <c r="C49" s="260" t="s">
        <v>80</v>
      </c>
      <c r="D49" s="260"/>
      <c r="E49" s="261">
        <v>1</v>
      </c>
      <c r="F49" s="262">
        <v>0</v>
      </c>
      <c r="G49" s="263"/>
      <c r="I49" s="222"/>
      <c r="J49" s="222"/>
      <c r="K49" s="222"/>
      <c r="L49" s="222"/>
      <c r="M49" s="222"/>
      <c r="N49" s="222"/>
      <c r="O49" s="222"/>
      <c r="P49" s="222"/>
      <c r="Q49" s="222"/>
      <c r="R49" s="222"/>
    </row>
    <row r="50" spans="1:20" s="7" customFormat="1" ht="63.75" x14ac:dyDescent="0.25">
      <c r="A50" s="259"/>
      <c r="B50" s="139" t="s">
        <v>541</v>
      </c>
      <c r="C50" s="260" t="s">
        <v>95</v>
      </c>
      <c r="D50" s="260"/>
      <c r="E50" s="261">
        <v>1</v>
      </c>
      <c r="F50" s="262">
        <v>0</v>
      </c>
      <c r="G50" s="263"/>
      <c r="I50" s="222"/>
      <c r="J50" s="222"/>
      <c r="K50" s="222"/>
      <c r="L50" s="222"/>
      <c r="M50" s="222"/>
      <c r="N50" s="222"/>
      <c r="O50" s="222"/>
      <c r="P50" s="222"/>
      <c r="Q50" s="222"/>
      <c r="R50" s="222"/>
    </row>
    <row r="51" spans="1:20" s="7" customFormat="1" ht="16.5" x14ac:dyDescent="0.25">
      <c r="A51" s="259"/>
      <c r="B51" s="140" t="s">
        <v>506</v>
      </c>
      <c r="C51" s="260" t="s">
        <v>80</v>
      </c>
      <c r="D51" s="260"/>
      <c r="E51" s="261">
        <v>1</v>
      </c>
      <c r="F51" s="262">
        <v>0</v>
      </c>
      <c r="G51" s="263"/>
      <c r="I51" s="222"/>
      <c r="J51" s="222"/>
      <c r="K51" s="222"/>
      <c r="L51" s="222"/>
      <c r="M51" s="222"/>
      <c r="N51" s="222"/>
      <c r="O51" s="222"/>
      <c r="P51" s="222"/>
      <c r="Q51" s="222"/>
      <c r="R51" s="222"/>
    </row>
    <row r="52" spans="1:20" s="7" customFormat="1" ht="64.5" thickBot="1" x14ac:dyDescent="0.3">
      <c r="A52" s="259"/>
      <c r="B52" s="140" t="s">
        <v>515</v>
      </c>
      <c r="C52" s="260" t="s">
        <v>80</v>
      </c>
      <c r="D52" s="260"/>
      <c r="E52" s="261">
        <v>1</v>
      </c>
      <c r="F52" s="262">
        <v>0</v>
      </c>
      <c r="G52" s="263"/>
      <c r="I52" s="222"/>
      <c r="J52" s="222"/>
      <c r="K52" s="222"/>
      <c r="L52" s="222"/>
      <c r="M52" s="222"/>
      <c r="N52" s="222"/>
      <c r="O52" s="222"/>
      <c r="P52" s="222"/>
      <c r="Q52" s="222"/>
      <c r="R52" s="222"/>
    </row>
    <row r="53" spans="1:20" s="146" customFormat="1" ht="301.5" thickTop="1" x14ac:dyDescent="0.25">
      <c r="A53" s="267" t="s">
        <v>140</v>
      </c>
      <c r="B53" s="258" t="s">
        <v>611</v>
      </c>
      <c r="C53" s="249" t="s">
        <v>80</v>
      </c>
      <c r="D53" s="249"/>
      <c r="E53" s="215">
        <v>1</v>
      </c>
      <c r="F53" s="216">
        <v>0</v>
      </c>
      <c r="G53" s="217">
        <f>SUM(F53*E53)</f>
        <v>0</v>
      </c>
    </row>
    <row r="54" spans="1:20" s="7" customFormat="1" ht="16.5" x14ac:dyDescent="0.25">
      <c r="A54" s="259"/>
      <c r="B54" s="226" t="s">
        <v>531</v>
      </c>
      <c r="C54" s="260"/>
      <c r="D54" s="260"/>
      <c r="E54" s="261"/>
      <c r="F54" s="262"/>
      <c r="G54" s="263"/>
    </row>
    <row r="55" spans="1:20" s="8" customFormat="1" ht="63.75" x14ac:dyDescent="0.25">
      <c r="A55" s="259"/>
      <c r="B55" s="139" t="s">
        <v>530</v>
      </c>
      <c r="C55" s="260" t="s">
        <v>516</v>
      </c>
      <c r="D55" s="260"/>
      <c r="E55" s="261">
        <f>15+10+30+40+60</f>
        <v>155</v>
      </c>
      <c r="F55" s="262">
        <v>0</v>
      </c>
      <c r="G55" s="263">
        <f t="shared" ref="G55:G57" si="5">E55*F55</f>
        <v>0</v>
      </c>
      <c r="I55" s="7"/>
      <c r="J55" s="7"/>
      <c r="K55" s="7"/>
      <c r="L55" s="7"/>
      <c r="M55" s="7"/>
      <c r="N55" s="7"/>
      <c r="O55" s="7"/>
      <c r="P55" s="7"/>
      <c r="Q55" s="7"/>
      <c r="R55" s="7"/>
      <c r="S55" s="7"/>
      <c r="T55" s="7"/>
    </row>
    <row r="56" spans="1:20" s="8" customFormat="1" ht="38.25" x14ac:dyDescent="0.25">
      <c r="A56" s="259"/>
      <c r="B56" s="139" t="s">
        <v>527</v>
      </c>
      <c r="C56" s="260" t="s">
        <v>80</v>
      </c>
      <c r="D56" s="260"/>
      <c r="E56" s="261">
        <v>1</v>
      </c>
      <c r="F56" s="262">
        <v>0</v>
      </c>
      <c r="G56" s="263">
        <f t="shared" si="5"/>
        <v>0</v>
      </c>
      <c r="I56" s="7"/>
      <c r="J56" s="7"/>
      <c r="K56" s="7"/>
      <c r="L56" s="7"/>
      <c r="M56" s="7"/>
      <c r="N56" s="7"/>
      <c r="O56" s="7"/>
      <c r="P56" s="7"/>
      <c r="Q56" s="7"/>
      <c r="R56" s="7"/>
      <c r="S56" s="7"/>
      <c r="T56" s="7"/>
    </row>
    <row r="57" spans="1:20" s="8" customFormat="1" ht="16.5" x14ac:dyDescent="0.25">
      <c r="A57" s="259"/>
      <c r="B57" s="140" t="s">
        <v>526</v>
      </c>
      <c r="C57" s="260" t="s">
        <v>80</v>
      </c>
      <c r="D57" s="260"/>
      <c r="E57" s="261">
        <v>1</v>
      </c>
      <c r="F57" s="262">
        <v>0</v>
      </c>
      <c r="G57" s="263">
        <f t="shared" si="5"/>
        <v>0</v>
      </c>
      <c r="I57" s="7"/>
      <c r="J57" s="7"/>
      <c r="K57" s="7"/>
      <c r="L57" s="7"/>
      <c r="M57" s="7"/>
      <c r="N57" s="7"/>
      <c r="O57" s="7"/>
      <c r="P57" s="7"/>
      <c r="Q57" s="7"/>
      <c r="R57" s="7"/>
      <c r="S57" s="7"/>
      <c r="T57" s="7"/>
    </row>
    <row r="58" spans="1:20" s="7" customFormat="1" ht="16.5" x14ac:dyDescent="0.25">
      <c r="A58" s="259"/>
      <c r="B58" s="226" t="s">
        <v>517</v>
      </c>
      <c r="C58" s="260"/>
      <c r="D58" s="260"/>
      <c r="E58" s="261"/>
      <c r="F58" s="262"/>
      <c r="G58" s="263"/>
    </row>
    <row r="59" spans="1:20" s="7" customFormat="1" ht="25.5" x14ac:dyDescent="0.25">
      <c r="A59" s="259"/>
      <c r="B59" s="140" t="s">
        <v>528</v>
      </c>
      <c r="C59" s="260" t="s">
        <v>95</v>
      </c>
      <c r="D59" s="260"/>
      <c r="E59" s="261">
        <v>8</v>
      </c>
      <c r="F59" s="262">
        <v>0</v>
      </c>
      <c r="G59" s="263">
        <f t="shared" ref="G59:G63" si="6">E59*F59</f>
        <v>0</v>
      </c>
    </row>
    <row r="60" spans="1:20" s="8" customFormat="1" ht="25.5" x14ac:dyDescent="0.25">
      <c r="A60" s="268"/>
      <c r="B60" s="139" t="s">
        <v>529</v>
      </c>
      <c r="C60" s="260" t="s">
        <v>95</v>
      </c>
      <c r="D60" s="260"/>
      <c r="E60" s="261">
        <v>8</v>
      </c>
      <c r="F60" s="262">
        <v>0</v>
      </c>
      <c r="G60" s="263">
        <f t="shared" si="6"/>
        <v>0</v>
      </c>
    </row>
    <row r="61" spans="1:20" s="8" customFormat="1" ht="51" x14ac:dyDescent="0.25">
      <c r="A61" s="268"/>
      <c r="B61" s="139" t="s">
        <v>523</v>
      </c>
      <c r="C61" s="260" t="s">
        <v>95</v>
      </c>
      <c r="D61" s="260"/>
      <c r="E61" s="261">
        <v>8</v>
      </c>
      <c r="F61" s="262">
        <v>0</v>
      </c>
      <c r="G61" s="263">
        <f t="shared" ref="G61" si="7">E61*F61</f>
        <v>0</v>
      </c>
    </row>
    <row r="62" spans="1:20" s="8" customFormat="1" ht="38.25" x14ac:dyDescent="0.25">
      <c r="A62" s="268"/>
      <c r="B62" s="139" t="s">
        <v>524</v>
      </c>
      <c r="C62" s="260" t="s">
        <v>95</v>
      </c>
      <c r="D62" s="260"/>
      <c r="E62" s="261">
        <f>8+13</f>
        <v>21</v>
      </c>
      <c r="F62" s="262">
        <v>0</v>
      </c>
      <c r="G62" s="263">
        <f t="shared" si="6"/>
        <v>0</v>
      </c>
    </row>
    <row r="63" spans="1:20" s="8" customFormat="1" ht="25.5" x14ac:dyDescent="0.25">
      <c r="A63" s="268"/>
      <c r="B63" s="139" t="s">
        <v>521</v>
      </c>
      <c r="C63" s="260" t="s">
        <v>95</v>
      </c>
      <c r="D63" s="260"/>
      <c r="E63" s="261">
        <v>8</v>
      </c>
      <c r="F63" s="262">
        <v>0</v>
      </c>
      <c r="G63" s="263">
        <f t="shared" si="6"/>
        <v>0</v>
      </c>
    </row>
    <row r="64" spans="1:20" s="8" customFormat="1" ht="25.5" x14ac:dyDescent="0.25">
      <c r="A64" s="268"/>
      <c r="B64" s="139" t="s">
        <v>522</v>
      </c>
      <c r="C64" s="260" t="s">
        <v>95</v>
      </c>
      <c r="D64" s="260"/>
      <c r="E64" s="261">
        <v>8</v>
      </c>
      <c r="F64" s="262">
        <v>0</v>
      </c>
      <c r="G64" s="263">
        <f t="shared" ref="G64" si="8">E64*F64</f>
        <v>0</v>
      </c>
    </row>
    <row r="65" spans="1:18" s="8" customFormat="1" ht="51" x14ac:dyDescent="0.25">
      <c r="A65" s="268"/>
      <c r="B65" s="139" t="s">
        <v>525</v>
      </c>
      <c r="C65" s="260" t="s">
        <v>95</v>
      </c>
      <c r="D65" s="260"/>
      <c r="E65" s="261">
        <v>2</v>
      </c>
      <c r="F65" s="262">
        <v>0</v>
      </c>
      <c r="G65" s="263">
        <f t="shared" ref="G65" si="9">E65*F65</f>
        <v>0</v>
      </c>
    </row>
    <row r="66" spans="1:18" s="8" customFormat="1" ht="76.5" x14ac:dyDescent="0.25">
      <c r="A66" s="268"/>
      <c r="B66" s="139" t="s">
        <v>538</v>
      </c>
      <c r="C66" s="260" t="s">
        <v>95</v>
      </c>
      <c r="D66" s="260"/>
      <c r="E66" s="261">
        <v>8</v>
      </c>
      <c r="F66" s="262">
        <v>0</v>
      </c>
      <c r="G66" s="263">
        <f t="shared" ref="G66" si="10">E66*F66</f>
        <v>0</v>
      </c>
    </row>
    <row r="67" spans="1:18" s="8" customFormat="1" ht="16.5" x14ac:dyDescent="0.25">
      <c r="A67" s="268"/>
      <c r="B67" s="226" t="s">
        <v>518</v>
      </c>
      <c r="C67" s="260"/>
      <c r="D67" s="260"/>
      <c r="E67" s="261"/>
      <c r="F67" s="262"/>
      <c r="G67" s="263"/>
    </row>
    <row r="68" spans="1:18" s="8" customFormat="1" ht="51" x14ac:dyDescent="0.25">
      <c r="A68" s="268"/>
      <c r="B68" s="139" t="s">
        <v>532</v>
      </c>
      <c r="C68" s="260" t="s">
        <v>516</v>
      </c>
      <c r="D68" s="260"/>
      <c r="E68" s="261">
        <v>40</v>
      </c>
      <c r="F68" s="262">
        <v>0</v>
      </c>
      <c r="G68" s="263">
        <f t="shared" ref="G68:G72" si="11">E68*F68</f>
        <v>0</v>
      </c>
    </row>
    <row r="69" spans="1:18" s="8" customFormat="1" ht="51" x14ac:dyDescent="0.25">
      <c r="A69" s="268"/>
      <c r="B69" s="139" t="s">
        <v>533</v>
      </c>
      <c r="C69" s="260" t="s">
        <v>516</v>
      </c>
      <c r="D69" s="260"/>
      <c r="E69" s="261">
        <v>50</v>
      </c>
      <c r="F69" s="262">
        <v>0</v>
      </c>
      <c r="G69" s="263">
        <f t="shared" si="11"/>
        <v>0</v>
      </c>
    </row>
    <row r="70" spans="1:18" s="8" customFormat="1" ht="51" x14ac:dyDescent="0.25">
      <c r="A70" s="268"/>
      <c r="B70" s="139" t="s">
        <v>534</v>
      </c>
      <c r="C70" s="260" t="s">
        <v>516</v>
      </c>
      <c r="D70" s="260"/>
      <c r="E70" s="261">
        <v>35</v>
      </c>
      <c r="F70" s="262">
        <v>0</v>
      </c>
      <c r="G70" s="263">
        <f t="shared" si="11"/>
        <v>0</v>
      </c>
    </row>
    <row r="71" spans="1:18" s="8" customFormat="1" ht="38.25" x14ac:dyDescent="0.25">
      <c r="A71" s="268"/>
      <c r="B71" s="139" t="s">
        <v>527</v>
      </c>
      <c r="C71" s="260" t="s">
        <v>80</v>
      </c>
      <c r="D71" s="260"/>
      <c r="E71" s="261">
        <v>1</v>
      </c>
      <c r="F71" s="262">
        <v>0</v>
      </c>
      <c r="G71" s="263">
        <f t="shared" si="11"/>
        <v>0</v>
      </c>
    </row>
    <row r="72" spans="1:18" s="8" customFormat="1" ht="16.5" x14ac:dyDescent="0.25">
      <c r="A72" s="268"/>
      <c r="B72" s="140" t="s">
        <v>526</v>
      </c>
      <c r="C72" s="260" t="s">
        <v>80</v>
      </c>
      <c r="D72" s="260"/>
      <c r="E72" s="261">
        <v>1</v>
      </c>
      <c r="F72" s="262">
        <v>0</v>
      </c>
      <c r="G72" s="263">
        <f t="shared" si="11"/>
        <v>0</v>
      </c>
    </row>
    <row r="73" spans="1:18" s="8" customFormat="1" ht="16.5" x14ac:dyDescent="0.25">
      <c r="A73" s="268"/>
      <c r="B73" s="226" t="s">
        <v>519</v>
      </c>
      <c r="C73" s="260"/>
      <c r="D73" s="260"/>
      <c r="E73" s="261"/>
      <c r="F73" s="262"/>
      <c r="G73" s="263"/>
    </row>
    <row r="74" spans="1:18" s="8" customFormat="1" ht="38.25" x14ac:dyDescent="0.25">
      <c r="A74" s="268"/>
      <c r="B74" s="139" t="s">
        <v>540</v>
      </c>
      <c r="C74" s="260" t="s">
        <v>516</v>
      </c>
      <c r="D74" s="260"/>
      <c r="E74" s="261">
        <f>18*3+38*2+10.5*2</f>
        <v>151</v>
      </c>
      <c r="F74" s="262">
        <v>0</v>
      </c>
      <c r="G74" s="263">
        <f t="shared" ref="G74:G78" si="12">E74*F74</f>
        <v>0</v>
      </c>
    </row>
    <row r="75" spans="1:18" s="8" customFormat="1" ht="38.25" x14ac:dyDescent="0.25">
      <c r="A75" s="268"/>
      <c r="B75" s="139" t="s">
        <v>527</v>
      </c>
      <c r="C75" s="260" t="s">
        <v>80</v>
      </c>
      <c r="D75" s="260"/>
      <c r="E75" s="261">
        <v>1</v>
      </c>
      <c r="F75" s="262">
        <v>0</v>
      </c>
      <c r="G75" s="263">
        <f t="shared" si="12"/>
        <v>0</v>
      </c>
    </row>
    <row r="76" spans="1:18" s="8" customFormat="1" ht="16.5" x14ac:dyDescent="0.25">
      <c r="A76" s="268"/>
      <c r="B76" s="139" t="s">
        <v>520</v>
      </c>
      <c r="C76" s="260" t="s">
        <v>95</v>
      </c>
      <c r="D76" s="260"/>
      <c r="E76" s="261">
        <f>18*3</f>
        <v>54</v>
      </c>
      <c r="F76" s="262">
        <v>0</v>
      </c>
      <c r="G76" s="263">
        <f t="shared" si="12"/>
        <v>0</v>
      </c>
    </row>
    <row r="77" spans="1:18" s="8" customFormat="1" ht="16.5" x14ac:dyDescent="0.25">
      <c r="A77" s="268"/>
      <c r="B77" s="139" t="s">
        <v>535</v>
      </c>
      <c r="C77" s="260" t="s">
        <v>95</v>
      </c>
      <c r="D77" s="260"/>
      <c r="E77" s="261">
        <f>38*2+10.5*2</f>
        <v>97</v>
      </c>
      <c r="F77" s="262">
        <v>0</v>
      </c>
      <c r="G77" s="263">
        <f t="shared" si="12"/>
        <v>0</v>
      </c>
    </row>
    <row r="78" spans="1:18" s="8" customFormat="1" ht="17.25" thickBot="1" x14ac:dyDescent="0.3">
      <c r="A78" s="268"/>
      <c r="B78" s="140" t="s">
        <v>526</v>
      </c>
      <c r="C78" s="260" t="s">
        <v>80</v>
      </c>
      <c r="D78" s="260"/>
      <c r="E78" s="261">
        <v>1</v>
      </c>
      <c r="F78" s="262">
        <v>0</v>
      </c>
      <c r="G78" s="263">
        <f t="shared" si="12"/>
        <v>0</v>
      </c>
    </row>
    <row r="79" spans="1:18" s="8" customFormat="1" ht="145.5" thickTop="1" x14ac:dyDescent="0.25">
      <c r="A79" s="257" t="s">
        <v>141</v>
      </c>
      <c r="B79" s="258" t="s">
        <v>612</v>
      </c>
      <c r="C79" s="249" t="s">
        <v>80</v>
      </c>
      <c r="D79" s="249"/>
      <c r="E79" s="215">
        <v>1</v>
      </c>
      <c r="F79" s="216">
        <v>0</v>
      </c>
      <c r="G79" s="217">
        <f>SUM(F79*E79)</f>
        <v>0</v>
      </c>
    </row>
    <row r="80" spans="1:18" s="7" customFormat="1" ht="63.75" x14ac:dyDescent="0.25">
      <c r="A80" s="259"/>
      <c r="B80" s="140" t="s">
        <v>543</v>
      </c>
      <c r="C80" s="260" t="s">
        <v>80</v>
      </c>
      <c r="D80" s="260"/>
      <c r="E80" s="261">
        <v>1</v>
      </c>
      <c r="F80" s="262">
        <v>0</v>
      </c>
      <c r="G80" s="263">
        <f t="shared" ref="G80" si="13">E80*F80</f>
        <v>0</v>
      </c>
      <c r="I80" s="222"/>
      <c r="J80" s="222"/>
      <c r="K80" s="222"/>
      <c r="L80" s="222"/>
      <c r="M80" s="222"/>
      <c r="N80" s="222"/>
      <c r="O80" s="222"/>
      <c r="P80" s="222"/>
      <c r="Q80" s="222"/>
      <c r="R80" s="222"/>
    </row>
    <row r="81" spans="1:18" s="7" customFormat="1" ht="63.75" x14ac:dyDescent="0.25">
      <c r="A81" s="259"/>
      <c r="B81" s="140" t="s">
        <v>544</v>
      </c>
      <c r="C81" s="260" t="s">
        <v>80</v>
      </c>
      <c r="D81" s="260"/>
      <c r="E81" s="261">
        <v>1</v>
      </c>
      <c r="F81" s="262">
        <v>0</v>
      </c>
      <c r="G81" s="263">
        <f t="shared" ref="G81" si="14">E81*F81</f>
        <v>0</v>
      </c>
      <c r="I81" s="222"/>
      <c r="J81" s="222"/>
      <c r="K81" s="222"/>
      <c r="L81" s="222"/>
      <c r="M81" s="222"/>
      <c r="N81" s="222"/>
      <c r="O81" s="222"/>
      <c r="P81" s="222"/>
      <c r="Q81" s="222"/>
      <c r="R81" s="222"/>
    </row>
    <row r="82" spans="1:18" s="146" customFormat="1" ht="51" x14ac:dyDescent="0.25">
      <c r="A82" s="273"/>
      <c r="B82" s="140" t="s">
        <v>536</v>
      </c>
      <c r="C82" s="260" t="s">
        <v>95</v>
      </c>
      <c r="D82" s="260"/>
      <c r="E82" s="261">
        <v>3</v>
      </c>
      <c r="F82" s="262">
        <v>0</v>
      </c>
      <c r="G82" s="263">
        <f t="shared" ref="G82" si="15">E82*F82</f>
        <v>0</v>
      </c>
    </row>
    <row r="83" spans="1:18" s="146" customFormat="1" ht="38.25" x14ac:dyDescent="0.25">
      <c r="A83" s="257"/>
      <c r="B83" s="274" t="s">
        <v>537</v>
      </c>
      <c r="C83" s="275" t="s">
        <v>95</v>
      </c>
      <c r="D83" s="275"/>
      <c r="E83" s="276">
        <v>2</v>
      </c>
      <c r="F83" s="262">
        <v>0</v>
      </c>
      <c r="G83" s="263">
        <f t="shared" ref="G83" si="16">E83*F83</f>
        <v>0</v>
      </c>
    </row>
    <row r="84" spans="1:18" s="146" customFormat="1" ht="63.75" x14ac:dyDescent="0.25">
      <c r="A84" s="257"/>
      <c r="B84" s="274" t="s">
        <v>553</v>
      </c>
      <c r="C84" s="275" t="s">
        <v>95</v>
      </c>
      <c r="D84" s="275"/>
      <c r="E84" s="276">
        <v>2</v>
      </c>
      <c r="F84" s="262">
        <v>0</v>
      </c>
      <c r="G84" s="263">
        <f t="shared" ref="G84" si="17">E84*F84</f>
        <v>0</v>
      </c>
    </row>
    <row r="85" spans="1:18" s="146" customFormat="1" ht="17.25" thickBot="1" x14ac:dyDescent="0.3">
      <c r="A85" s="257"/>
      <c r="B85" s="277" t="s">
        <v>526</v>
      </c>
      <c r="C85" s="278" t="s">
        <v>80</v>
      </c>
      <c r="D85" s="278"/>
      <c r="E85" s="279">
        <v>1</v>
      </c>
      <c r="F85" s="280">
        <v>0</v>
      </c>
      <c r="G85" s="281">
        <f t="shared" ref="G85" si="18">E85*F85</f>
        <v>0</v>
      </c>
    </row>
    <row r="86" spans="1:18" s="8" customFormat="1" ht="15" customHeight="1" thickTop="1" x14ac:dyDescent="0.25">
      <c r="A86" s="257" t="s">
        <v>454</v>
      </c>
      <c r="B86" s="224" t="s">
        <v>438</v>
      </c>
      <c r="C86" s="282"/>
      <c r="D86" s="282"/>
      <c r="E86" s="283"/>
      <c r="F86" s="284"/>
      <c r="G86" s="285"/>
    </row>
    <row r="87" spans="1:18" s="8" customFormat="1" ht="15" customHeight="1" x14ac:dyDescent="0.25">
      <c r="A87" s="185" t="s">
        <v>455</v>
      </c>
      <c r="B87" s="225" t="s">
        <v>14</v>
      </c>
      <c r="C87" s="153" t="s">
        <v>12</v>
      </c>
      <c r="D87" s="153"/>
      <c r="E87" s="154">
        <v>1</v>
      </c>
      <c r="F87" s="155">
        <v>0</v>
      </c>
      <c r="G87" s="156">
        <f>E87*F87</f>
        <v>0</v>
      </c>
    </row>
    <row r="88" spans="1:18" s="8" customFormat="1" ht="15" customHeight="1" thickBot="1" x14ac:dyDescent="0.3">
      <c r="A88" s="185" t="s">
        <v>456</v>
      </c>
      <c r="B88" s="49" t="s">
        <v>13</v>
      </c>
      <c r="C88" s="157" t="s">
        <v>12</v>
      </c>
      <c r="D88" s="157"/>
      <c r="E88" s="158">
        <v>4</v>
      </c>
      <c r="F88" s="159">
        <v>0</v>
      </c>
      <c r="G88" s="160">
        <f>E88*F88</f>
        <v>0</v>
      </c>
    </row>
    <row r="89" spans="1:18" ht="16.5" thickTop="1" thickBot="1" x14ac:dyDescent="0.3">
      <c r="A89" s="186"/>
      <c r="B89" s="51"/>
      <c r="C89" s="52"/>
      <c r="D89" s="52"/>
      <c r="E89" s="97"/>
      <c r="F89" s="98"/>
      <c r="G89" s="99">
        <f>SUM(G4:G88)</f>
        <v>0</v>
      </c>
    </row>
    <row r="90" spans="1:18" ht="15.75" thickTop="1" x14ac:dyDescent="0.25">
      <c r="F90" s="100"/>
    </row>
    <row r="91" spans="1:18" x14ac:dyDescent="0.25">
      <c r="A91" s="187"/>
      <c r="B91" s="5"/>
    </row>
    <row r="92" spans="1:18" x14ac:dyDescent="0.25">
      <c r="A92" s="187"/>
      <c r="B92" s="3"/>
    </row>
    <row r="93" spans="1:18" x14ac:dyDescent="0.25">
      <c r="A93" s="187"/>
      <c r="B93" s="4"/>
    </row>
    <row r="94" spans="1:18" x14ac:dyDescent="0.25">
      <c r="A94" s="187"/>
      <c r="B94" s="5"/>
    </row>
    <row r="95" spans="1:18" x14ac:dyDescent="0.25">
      <c r="A95" s="187"/>
      <c r="B95" s="6"/>
    </row>
    <row r="96" spans="1:18" x14ac:dyDescent="0.25">
      <c r="A96" s="187"/>
      <c r="B96" s="3"/>
    </row>
    <row r="97" spans="1:2" x14ac:dyDescent="0.25">
      <c r="A97" s="187"/>
      <c r="B97" s="6"/>
    </row>
    <row r="98" spans="1:2" x14ac:dyDescent="0.25">
      <c r="A98" s="187"/>
      <c r="B98" s="3"/>
    </row>
    <row r="99" spans="1:2" x14ac:dyDescent="0.25">
      <c r="A99" s="187"/>
      <c r="B99" s="5"/>
    </row>
    <row r="100" spans="1:2" x14ac:dyDescent="0.25">
      <c r="A100" s="187"/>
      <c r="B100" s="3"/>
    </row>
    <row r="101" spans="1:2" x14ac:dyDescent="0.25">
      <c r="A101" s="187"/>
      <c r="B101" s="3"/>
    </row>
    <row r="102" spans="1:2" x14ac:dyDescent="0.25">
      <c r="A102" s="187"/>
      <c r="B102" s="3"/>
    </row>
    <row r="103" spans="1:2" x14ac:dyDescent="0.25">
      <c r="A103" s="187"/>
      <c r="B103" s="3"/>
    </row>
    <row r="104" spans="1:2" x14ac:dyDescent="0.25">
      <c r="A104" s="187"/>
      <c r="B104" s="23"/>
    </row>
  </sheetData>
  <mergeCells count="2">
    <mergeCell ref="A3:B3"/>
    <mergeCell ref="A1:G1"/>
  </mergeCells>
  <printOptions horizontalCentered="1"/>
  <pageMargins left="0.39370078740157483" right="0.39370078740157483" top="0.39370078740157483" bottom="0.59055118110236227" header="0.31496062992125984" footer="0.31496062992125984"/>
  <pageSetup paperSize="9" orientation="landscape" r:id="rId1"/>
  <headerFooter>
    <oddFooter>&amp;L&amp;8CONCEPTION ET ADAPTATION ARCHITECTURALE-STRUCTURALE DES PLAN TYPES DE CENTRES PUBLICS DE FORMATION PROFESSIONNELLE ET D’ETUDES TECHNIQUES EN VUE DE LA CONSTRUCTION DU CENTRE PROFESSIONNELLE DES CAYES</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sheetPr>
  <dimension ref="A1:T107"/>
  <sheetViews>
    <sheetView topLeftCell="A82" zoomScaleNormal="100" workbookViewId="0">
      <selection activeCell="B14" sqref="B14"/>
    </sheetView>
  </sheetViews>
  <sheetFormatPr defaultColWidth="11.5703125" defaultRowHeight="15" x14ac:dyDescent="0.25"/>
  <cols>
    <col min="1" max="1" width="5.7109375" style="181" customWidth="1"/>
    <col min="2" max="2" width="85.42578125" style="22" customWidth="1"/>
    <col min="3" max="3" width="8.28515625" bestFit="1" customWidth="1"/>
    <col min="4" max="4" width="3.7109375" customWidth="1"/>
    <col min="5" max="5" width="10" style="92" customWidth="1"/>
    <col min="6" max="6" width="10" style="93" customWidth="1"/>
    <col min="7" max="7" width="15" style="92" customWidth="1"/>
  </cols>
  <sheetData>
    <row r="1" spans="1:8" ht="33.950000000000003" customHeight="1" thickTop="1" thickBot="1" x14ac:dyDescent="0.3">
      <c r="A1" s="356" t="s">
        <v>60</v>
      </c>
      <c r="B1" s="357"/>
      <c r="C1" s="357"/>
      <c r="D1" s="357"/>
      <c r="E1" s="357"/>
      <c r="F1" s="357"/>
      <c r="G1" s="358"/>
    </row>
    <row r="2" spans="1:8" ht="16.5" thickTop="1" thickBot="1" x14ac:dyDescent="0.3">
      <c r="C2" s="1" t="s">
        <v>615</v>
      </c>
      <c r="D2" s="1"/>
      <c r="E2" s="92" t="s">
        <v>4</v>
      </c>
      <c r="F2" s="93" t="s">
        <v>5</v>
      </c>
      <c r="G2" s="92" t="s">
        <v>6</v>
      </c>
    </row>
    <row r="3" spans="1:8" ht="16.5" thickTop="1" thickBot="1" x14ac:dyDescent="0.3">
      <c r="A3" s="354" t="s">
        <v>62</v>
      </c>
      <c r="B3" s="355"/>
      <c r="C3" s="53">
        <f>206.23+(38.7*50%)</f>
        <v>225.57999999999998</v>
      </c>
      <c r="D3" s="54" t="s">
        <v>0</v>
      </c>
      <c r="E3" s="94"/>
      <c r="F3" s="95"/>
      <c r="G3" s="96">
        <f>G92/C3</f>
        <v>0</v>
      </c>
    </row>
    <row r="4" spans="1:8" ht="39.75" customHeight="1" thickTop="1" x14ac:dyDescent="0.25">
      <c r="A4" s="286" t="s">
        <v>142</v>
      </c>
      <c r="B4" s="297" t="s">
        <v>99</v>
      </c>
      <c r="C4" s="311" t="s">
        <v>2</v>
      </c>
      <c r="D4" s="287"/>
      <c r="E4" s="312">
        <v>477.75</v>
      </c>
      <c r="F4" s="313">
        <v>0</v>
      </c>
      <c r="G4" s="193">
        <f>SUM(F4*E4)</f>
        <v>0</v>
      </c>
      <c r="H4" s="314"/>
    </row>
    <row r="5" spans="1:8" ht="39.75" customHeight="1" x14ac:dyDescent="0.25">
      <c r="A5" s="273" t="s">
        <v>114</v>
      </c>
      <c r="B5" s="298" t="s">
        <v>490</v>
      </c>
      <c r="C5" s="315" t="s">
        <v>2</v>
      </c>
      <c r="D5" s="270"/>
      <c r="E5" s="316">
        <v>224.54</v>
      </c>
      <c r="F5" s="317">
        <v>0</v>
      </c>
      <c r="G5" s="123">
        <f>SUM(F5*E5)</f>
        <v>0</v>
      </c>
      <c r="H5" s="314"/>
    </row>
    <row r="6" spans="1:8" ht="39.75" customHeight="1" x14ac:dyDescent="0.25">
      <c r="A6" s="273" t="s">
        <v>143</v>
      </c>
      <c r="B6" s="298" t="s">
        <v>29</v>
      </c>
      <c r="C6" s="269" t="s">
        <v>2</v>
      </c>
      <c r="D6" s="270"/>
      <c r="E6" s="299">
        <v>15.77</v>
      </c>
      <c r="F6" s="151">
        <v>0</v>
      </c>
      <c r="G6" s="123">
        <f>SUM(F6*E6)</f>
        <v>0</v>
      </c>
      <c r="H6" s="314"/>
    </row>
    <row r="7" spans="1:8" ht="39.75" customHeight="1" x14ac:dyDescent="0.25">
      <c r="A7" s="273" t="s">
        <v>144</v>
      </c>
      <c r="B7" s="300" t="s">
        <v>98</v>
      </c>
      <c r="C7" s="269" t="s">
        <v>2</v>
      </c>
      <c r="D7" s="270"/>
      <c r="E7" s="299">
        <v>94.86</v>
      </c>
      <c r="F7" s="151">
        <v>0</v>
      </c>
      <c r="G7" s="123">
        <f t="shared" ref="G7:G15" si="0">SUM(F7*E7)</f>
        <v>0</v>
      </c>
      <c r="H7" s="314"/>
    </row>
    <row r="8" spans="1:8" ht="30" customHeight="1" x14ac:dyDescent="0.25">
      <c r="A8" s="307"/>
      <c r="B8" s="301" t="s">
        <v>616</v>
      </c>
      <c r="C8" s="302" t="s">
        <v>2</v>
      </c>
      <c r="D8" s="303"/>
      <c r="E8" s="304">
        <v>20.9</v>
      </c>
      <c r="F8" s="305">
        <v>0</v>
      </c>
      <c r="G8" s="318"/>
      <c r="H8" s="374"/>
    </row>
    <row r="9" spans="1:8" ht="30" customHeight="1" x14ac:dyDescent="0.25">
      <c r="A9" s="307"/>
      <c r="B9" s="301" t="s">
        <v>617</v>
      </c>
      <c r="C9" s="302" t="s">
        <v>2</v>
      </c>
      <c r="D9" s="303"/>
      <c r="E9" s="304">
        <v>53.44</v>
      </c>
      <c r="F9" s="305">
        <v>0</v>
      </c>
      <c r="G9" s="318"/>
      <c r="H9" s="374"/>
    </row>
    <row r="10" spans="1:8" ht="30" customHeight="1" x14ac:dyDescent="0.25">
      <c r="A10" s="307"/>
      <c r="B10" s="301" t="s">
        <v>618</v>
      </c>
      <c r="C10" s="302" t="s">
        <v>2</v>
      </c>
      <c r="D10" s="303"/>
      <c r="E10" s="304">
        <v>9.4</v>
      </c>
      <c r="F10" s="305">
        <v>0</v>
      </c>
      <c r="G10" s="318"/>
      <c r="H10" s="374"/>
    </row>
    <row r="11" spans="1:8" ht="39.75" customHeight="1" x14ac:dyDescent="0.25">
      <c r="A11" s="273" t="s">
        <v>145</v>
      </c>
      <c r="B11" s="298" t="s">
        <v>79</v>
      </c>
      <c r="C11" s="269" t="s">
        <v>0</v>
      </c>
      <c r="D11" s="270"/>
      <c r="E11" s="299">
        <v>38.700000000000003</v>
      </c>
      <c r="F11" s="151">
        <v>0</v>
      </c>
      <c r="G11" s="123">
        <f t="shared" si="0"/>
        <v>0</v>
      </c>
      <c r="H11" s="314"/>
    </row>
    <row r="12" spans="1:8" ht="39.75" customHeight="1" x14ac:dyDescent="0.25">
      <c r="A12" s="273" t="s">
        <v>146</v>
      </c>
      <c r="B12" s="298" t="s">
        <v>30</v>
      </c>
      <c r="C12" s="269" t="s">
        <v>2</v>
      </c>
      <c r="D12" s="270"/>
      <c r="E12" s="299">
        <v>4.0040000000000004</v>
      </c>
      <c r="F12" s="151">
        <v>0</v>
      </c>
      <c r="G12" s="123">
        <f t="shared" si="0"/>
        <v>0</v>
      </c>
      <c r="H12" s="314"/>
    </row>
    <row r="13" spans="1:8" ht="39.75" customHeight="1" x14ac:dyDescent="0.25">
      <c r="A13" s="273" t="s">
        <v>147</v>
      </c>
      <c r="B13" s="298" t="s">
        <v>31</v>
      </c>
      <c r="C13" s="269" t="s">
        <v>2</v>
      </c>
      <c r="D13" s="270"/>
      <c r="E13" s="299">
        <v>33.265000000000001</v>
      </c>
      <c r="F13" s="151">
        <v>0</v>
      </c>
      <c r="G13" s="123">
        <f t="shared" si="0"/>
        <v>0</v>
      </c>
      <c r="H13" s="314"/>
    </row>
    <row r="14" spans="1:8" ht="39.75" customHeight="1" x14ac:dyDescent="0.25">
      <c r="A14" s="273" t="s">
        <v>148</v>
      </c>
      <c r="B14" s="298" t="s">
        <v>32</v>
      </c>
      <c r="C14" s="269" t="s">
        <v>2</v>
      </c>
      <c r="D14" s="270"/>
      <c r="E14" s="299">
        <v>27.12</v>
      </c>
      <c r="F14" s="151">
        <v>0</v>
      </c>
      <c r="G14" s="123">
        <f t="shared" si="0"/>
        <v>0</v>
      </c>
      <c r="H14" s="314"/>
    </row>
    <row r="15" spans="1:8" ht="39.75" customHeight="1" x14ac:dyDescent="0.25">
      <c r="A15" s="273" t="s">
        <v>149</v>
      </c>
      <c r="B15" s="298" t="s">
        <v>34</v>
      </c>
      <c r="C15" s="269" t="s">
        <v>0</v>
      </c>
      <c r="D15" s="269"/>
      <c r="E15" s="299">
        <f>(15.1*2*1)+(9.9*2*1)</f>
        <v>50</v>
      </c>
      <c r="F15" s="151">
        <v>0</v>
      </c>
      <c r="G15" s="123">
        <f t="shared" si="0"/>
        <v>0</v>
      </c>
      <c r="H15" s="314"/>
    </row>
    <row r="16" spans="1:8" ht="156.75" x14ac:dyDescent="0.25">
      <c r="A16" s="273" t="s">
        <v>150</v>
      </c>
      <c r="B16" s="135" t="s">
        <v>38</v>
      </c>
      <c r="C16" s="269" t="s">
        <v>0</v>
      </c>
      <c r="D16" s="269"/>
      <c r="E16" s="150">
        <v>118.80000000000001</v>
      </c>
      <c r="F16" s="151">
        <v>0</v>
      </c>
      <c r="G16" s="123">
        <f t="shared" ref="G16:G29" si="1">SUM(F16*E16)</f>
        <v>0</v>
      </c>
    </row>
    <row r="17" spans="1:7" ht="96.75" x14ac:dyDescent="0.25">
      <c r="A17" s="273" t="s">
        <v>151</v>
      </c>
      <c r="B17" s="135" t="s">
        <v>40</v>
      </c>
      <c r="C17" s="269"/>
      <c r="D17" s="269"/>
      <c r="E17" s="150"/>
      <c r="F17" s="151"/>
      <c r="G17" s="123"/>
    </row>
    <row r="18" spans="1:7" x14ac:dyDescent="0.25">
      <c r="A18" s="273" t="s">
        <v>414</v>
      </c>
      <c r="B18" s="135" t="s">
        <v>451</v>
      </c>
      <c r="C18" s="269" t="s">
        <v>3</v>
      </c>
      <c r="D18" s="269"/>
      <c r="E18" s="150">
        <v>0</v>
      </c>
      <c r="F18" s="151">
        <v>0</v>
      </c>
      <c r="G18" s="123">
        <f t="shared" ref="G18:G20" si="2">SUM(F18*E18)</f>
        <v>0</v>
      </c>
    </row>
    <row r="19" spans="1:7" x14ac:dyDescent="0.25">
      <c r="A19" s="273" t="s">
        <v>415</v>
      </c>
      <c r="B19" s="135" t="s">
        <v>452</v>
      </c>
      <c r="C19" s="269" t="s">
        <v>3</v>
      </c>
      <c r="D19" s="269"/>
      <c r="E19" s="150">
        <v>9</v>
      </c>
      <c r="F19" s="151">
        <v>0</v>
      </c>
      <c r="G19" s="123">
        <f t="shared" si="2"/>
        <v>0</v>
      </c>
    </row>
    <row r="20" spans="1:7" x14ac:dyDescent="0.25">
      <c r="A20" s="273" t="s">
        <v>460</v>
      </c>
      <c r="B20" s="135" t="s">
        <v>453</v>
      </c>
      <c r="C20" s="269" t="s">
        <v>3</v>
      </c>
      <c r="D20" s="270"/>
      <c r="E20" s="150">
        <v>3</v>
      </c>
      <c r="F20" s="151">
        <v>0</v>
      </c>
      <c r="G20" s="123">
        <f t="shared" si="2"/>
        <v>0</v>
      </c>
    </row>
    <row r="21" spans="1:7" ht="96.75" x14ac:dyDescent="0.25">
      <c r="A21" s="273" t="s">
        <v>152</v>
      </c>
      <c r="B21" s="139" t="s">
        <v>39</v>
      </c>
      <c r="C21" s="269" t="s">
        <v>3</v>
      </c>
      <c r="D21" s="270"/>
      <c r="E21" s="150">
        <v>1</v>
      </c>
      <c r="F21" s="151">
        <v>0</v>
      </c>
      <c r="G21" s="123">
        <f t="shared" si="1"/>
        <v>0</v>
      </c>
    </row>
    <row r="22" spans="1:7" ht="84.75" x14ac:dyDescent="0.25">
      <c r="A22" s="273" t="s">
        <v>153</v>
      </c>
      <c r="B22" s="139" t="s">
        <v>47</v>
      </c>
      <c r="C22" s="269" t="s">
        <v>0</v>
      </c>
      <c r="D22" s="270"/>
      <c r="E22" s="150">
        <f>E23</f>
        <v>39.599999999999994</v>
      </c>
      <c r="F22" s="151">
        <v>0</v>
      </c>
      <c r="G22" s="123">
        <f t="shared" ref="G22" si="3">SUM(F22*E22)</f>
        <v>0</v>
      </c>
    </row>
    <row r="23" spans="1:7" ht="84.75" x14ac:dyDescent="0.25">
      <c r="A23" s="273" t="s">
        <v>154</v>
      </c>
      <c r="B23" s="139" t="s">
        <v>45</v>
      </c>
      <c r="C23" s="269" t="s">
        <v>0</v>
      </c>
      <c r="D23" s="270"/>
      <c r="E23" s="150">
        <f>11*(3*1.2)</f>
        <v>39.599999999999994</v>
      </c>
      <c r="F23" s="151">
        <v>0</v>
      </c>
      <c r="G23" s="123">
        <f t="shared" si="1"/>
        <v>0</v>
      </c>
    </row>
    <row r="24" spans="1:7" ht="84.75" x14ac:dyDescent="0.25">
      <c r="A24" s="273" t="s">
        <v>155</v>
      </c>
      <c r="B24" s="135" t="s">
        <v>42</v>
      </c>
      <c r="C24" s="269" t="s">
        <v>0</v>
      </c>
      <c r="D24" s="270"/>
      <c r="E24" s="150">
        <f>E15*2+E16*2</f>
        <v>337.6</v>
      </c>
      <c r="F24" s="151">
        <v>0</v>
      </c>
      <c r="G24" s="123">
        <f t="shared" si="1"/>
        <v>0</v>
      </c>
    </row>
    <row r="25" spans="1:7" ht="84.75" x14ac:dyDescent="0.25">
      <c r="A25" s="273" t="s">
        <v>156</v>
      </c>
      <c r="B25" s="143" t="s">
        <v>107</v>
      </c>
      <c r="C25" s="269" t="s">
        <v>0</v>
      </c>
      <c r="D25" s="270"/>
      <c r="E25" s="150">
        <f>$C$3*0.95</f>
        <v>214.30099999999999</v>
      </c>
      <c r="F25" s="151">
        <v>0</v>
      </c>
      <c r="G25" s="123">
        <f>SUM(F25*E25)</f>
        <v>0</v>
      </c>
    </row>
    <row r="26" spans="1:7" ht="96.75" x14ac:dyDescent="0.25">
      <c r="A26" s="273" t="s">
        <v>157</v>
      </c>
      <c r="B26" s="135" t="s">
        <v>44</v>
      </c>
      <c r="C26" s="269" t="s">
        <v>0</v>
      </c>
      <c r="D26" s="269"/>
      <c r="E26" s="150">
        <v>178.2</v>
      </c>
      <c r="F26" s="151">
        <v>0</v>
      </c>
      <c r="G26" s="123">
        <f>SUM(F26*E26)</f>
        <v>0</v>
      </c>
    </row>
    <row r="27" spans="1:7" ht="72.75" x14ac:dyDescent="0.25">
      <c r="A27" s="273" t="s">
        <v>158</v>
      </c>
      <c r="B27" s="135" t="s">
        <v>43</v>
      </c>
      <c r="C27" s="269" t="s">
        <v>0</v>
      </c>
      <c r="D27" s="270"/>
      <c r="E27" s="150">
        <f>E26</f>
        <v>178.2</v>
      </c>
      <c r="F27" s="151">
        <v>0</v>
      </c>
      <c r="G27" s="123">
        <f>SUM(F27*E27)</f>
        <v>0</v>
      </c>
    </row>
    <row r="28" spans="1:7" ht="72.75" x14ac:dyDescent="0.25">
      <c r="A28" s="273" t="s">
        <v>159</v>
      </c>
      <c r="B28" s="135" t="s">
        <v>41</v>
      </c>
      <c r="C28" s="269" t="s">
        <v>0</v>
      </c>
      <c r="D28" s="270"/>
      <c r="E28" s="150">
        <v>31.5</v>
      </c>
      <c r="F28" s="151">
        <v>0</v>
      </c>
      <c r="G28" s="123">
        <f>SUM(F28*E28)</f>
        <v>0</v>
      </c>
    </row>
    <row r="29" spans="1:7" ht="60.75" x14ac:dyDescent="0.25">
      <c r="A29" s="273" t="s">
        <v>160</v>
      </c>
      <c r="B29" s="135" t="s">
        <v>37</v>
      </c>
      <c r="C29" s="269" t="s">
        <v>0</v>
      </c>
      <c r="D29" s="269"/>
      <c r="E29" s="150">
        <f>(3)*2.2</f>
        <v>6.6000000000000005</v>
      </c>
      <c r="F29" s="151">
        <v>0</v>
      </c>
      <c r="G29" s="123">
        <f t="shared" si="1"/>
        <v>0</v>
      </c>
    </row>
    <row r="30" spans="1:7" ht="120.75" x14ac:dyDescent="0.25">
      <c r="A30" s="273" t="s">
        <v>161</v>
      </c>
      <c r="B30" s="135" t="s">
        <v>35</v>
      </c>
      <c r="C30" s="269" t="s">
        <v>0</v>
      </c>
      <c r="D30" s="270"/>
      <c r="E30" s="150">
        <v>209</v>
      </c>
      <c r="F30" s="151">
        <v>0</v>
      </c>
      <c r="G30" s="123">
        <f>SUM(F30*E30)</f>
        <v>0</v>
      </c>
    </row>
    <row r="31" spans="1:7" ht="97.5" thickBot="1" x14ac:dyDescent="0.3">
      <c r="A31" s="273" t="s">
        <v>162</v>
      </c>
      <c r="B31" s="142" t="s">
        <v>36</v>
      </c>
      <c r="C31" s="288" t="s">
        <v>0</v>
      </c>
      <c r="D31" s="289"/>
      <c r="E31" s="196">
        <f>E30*1.04</f>
        <v>217.36</v>
      </c>
      <c r="F31" s="197">
        <v>0</v>
      </c>
      <c r="G31" s="198">
        <f>SUM(F31*E31)</f>
        <v>0</v>
      </c>
    </row>
    <row r="32" spans="1:7" s="8" customFormat="1" ht="181.5" thickTop="1" x14ac:dyDescent="0.25">
      <c r="A32" s="273" t="s">
        <v>163</v>
      </c>
      <c r="B32" s="258" t="s">
        <v>610</v>
      </c>
      <c r="C32" s="249" t="s">
        <v>80</v>
      </c>
      <c r="D32" s="249"/>
      <c r="E32" s="215">
        <v>1</v>
      </c>
      <c r="F32" s="216">
        <v>0</v>
      </c>
      <c r="G32" s="217">
        <f t="shared" ref="G32" si="4">SUM(F32*E32)</f>
        <v>0</v>
      </c>
    </row>
    <row r="33" spans="1:20" s="8" customFormat="1" ht="51" x14ac:dyDescent="0.25">
      <c r="A33" s="259"/>
      <c r="B33" s="139" t="s">
        <v>510</v>
      </c>
      <c r="C33" s="260" t="s">
        <v>95</v>
      </c>
      <c r="D33" s="260"/>
      <c r="E33" s="261">
        <v>13</v>
      </c>
      <c r="F33" s="262">
        <v>0</v>
      </c>
      <c r="G33" s="263"/>
      <c r="I33" s="222"/>
      <c r="J33" s="222"/>
      <c r="K33" s="222"/>
      <c r="L33" s="222"/>
      <c r="M33" s="222"/>
      <c r="N33" s="222"/>
      <c r="O33" s="222"/>
      <c r="P33" s="222"/>
      <c r="Q33" s="222"/>
      <c r="R33" s="222"/>
      <c r="S33" s="7"/>
      <c r="T33" s="7"/>
    </row>
    <row r="34" spans="1:20" s="8" customFormat="1" ht="114.75" x14ac:dyDescent="0.25">
      <c r="A34" s="259"/>
      <c r="B34" s="140" t="s">
        <v>503</v>
      </c>
      <c r="C34" s="260" t="s">
        <v>95</v>
      </c>
      <c r="D34" s="260"/>
      <c r="E34" s="261">
        <v>76</v>
      </c>
      <c r="F34" s="262">
        <v>0</v>
      </c>
      <c r="G34" s="263"/>
      <c r="I34" s="222"/>
      <c r="J34" s="222"/>
      <c r="K34" s="222"/>
      <c r="L34" s="222"/>
      <c r="M34" s="222"/>
      <c r="N34" s="222"/>
      <c r="O34" s="222"/>
      <c r="P34" s="222"/>
      <c r="Q34" s="222"/>
      <c r="R34" s="222"/>
      <c r="S34" s="7"/>
      <c r="T34" s="7"/>
    </row>
    <row r="35" spans="1:20" s="8" customFormat="1" ht="114.75" x14ac:dyDescent="0.25">
      <c r="A35" s="259"/>
      <c r="B35" s="140" t="s">
        <v>504</v>
      </c>
      <c r="C35" s="260" t="s">
        <v>95</v>
      </c>
      <c r="D35" s="260"/>
      <c r="E35" s="261">
        <v>15</v>
      </c>
      <c r="F35" s="262">
        <v>0</v>
      </c>
      <c r="G35" s="263"/>
      <c r="I35" s="222"/>
      <c r="J35" s="222"/>
      <c r="K35" s="222"/>
      <c r="L35" s="222"/>
      <c r="M35" s="222"/>
      <c r="N35" s="222"/>
      <c r="O35" s="222"/>
      <c r="P35" s="222"/>
      <c r="Q35" s="222"/>
      <c r="R35" s="222"/>
      <c r="S35" s="7"/>
      <c r="T35" s="7"/>
    </row>
    <row r="36" spans="1:20" s="8" customFormat="1" ht="51" x14ac:dyDescent="0.25">
      <c r="A36" s="259"/>
      <c r="B36" s="139" t="s">
        <v>511</v>
      </c>
      <c r="C36" s="260" t="s">
        <v>95</v>
      </c>
      <c r="D36" s="260"/>
      <c r="E36" s="261">
        <v>18</v>
      </c>
      <c r="F36" s="262">
        <v>0</v>
      </c>
      <c r="G36" s="263"/>
      <c r="I36" s="222"/>
      <c r="J36" s="222"/>
      <c r="K36" s="222"/>
      <c r="L36" s="222"/>
      <c r="M36" s="222"/>
      <c r="N36" s="222"/>
      <c r="O36" s="222"/>
      <c r="P36" s="222"/>
      <c r="Q36" s="222"/>
      <c r="R36" s="222"/>
      <c r="S36" s="7"/>
      <c r="T36" s="7"/>
    </row>
    <row r="37" spans="1:20" s="8" customFormat="1" ht="51" x14ac:dyDescent="0.25">
      <c r="A37" s="259"/>
      <c r="B37" s="139" t="s">
        <v>512</v>
      </c>
      <c r="C37" s="260" t="s">
        <v>95</v>
      </c>
      <c r="D37" s="260"/>
      <c r="E37" s="261">
        <v>8</v>
      </c>
      <c r="F37" s="262">
        <v>0</v>
      </c>
      <c r="G37" s="263"/>
      <c r="I37" s="222"/>
      <c r="J37" s="222"/>
      <c r="K37" s="222"/>
      <c r="L37" s="222"/>
      <c r="M37" s="222"/>
      <c r="N37" s="222"/>
      <c r="O37" s="222"/>
      <c r="P37" s="222"/>
      <c r="Q37" s="222"/>
      <c r="R37" s="222"/>
      <c r="S37" s="7"/>
      <c r="T37" s="7"/>
    </row>
    <row r="38" spans="1:20" s="8" customFormat="1" ht="51" x14ac:dyDescent="0.25">
      <c r="A38" s="259"/>
      <c r="B38" s="139" t="s">
        <v>513</v>
      </c>
      <c r="C38" s="260" t="s">
        <v>95</v>
      </c>
      <c r="D38" s="260"/>
      <c r="E38" s="261">
        <v>1</v>
      </c>
      <c r="F38" s="262">
        <v>0</v>
      </c>
      <c r="G38" s="263"/>
      <c r="I38" s="222"/>
      <c r="J38" s="222"/>
      <c r="K38" s="222"/>
      <c r="L38" s="222"/>
      <c r="M38" s="222"/>
      <c r="N38" s="222"/>
      <c r="O38" s="222"/>
      <c r="P38" s="222"/>
      <c r="Q38" s="222"/>
      <c r="R38" s="222"/>
      <c r="S38" s="7"/>
      <c r="T38" s="7"/>
    </row>
    <row r="39" spans="1:20" s="8" customFormat="1" ht="51" x14ac:dyDescent="0.25">
      <c r="A39" s="259"/>
      <c r="B39" s="139" t="s">
        <v>514</v>
      </c>
      <c r="C39" s="260" t="s">
        <v>95</v>
      </c>
      <c r="D39" s="260"/>
      <c r="E39" s="261">
        <v>0</v>
      </c>
      <c r="F39" s="262">
        <v>0</v>
      </c>
      <c r="G39" s="263"/>
      <c r="I39" s="222"/>
      <c r="J39" s="222"/>
      <c r="K39" s="222"/>
      <c r="L39" s="222"/>
      <c r="M39" s="222"/>
      <c r="N39" s="222"/>
      <c r="O39" s="222"/>
      <c r="P39" s="222"/>
      <c r="Q39" s="222"/>
      <c r="R39" s="222"/>
      <c r="S39" s="7"/>
      <c r="T39" s="7"/>
    </row>
    <row r="40" spans="1:20" s="8" customFormat="1" ht="25.5" x14ac:dyDescent="0.25">
      <c r="A40" s="259"/>
      <c r="B40" s="140" t="s">
        <v>505</v>
      </c>
      <c r="C40" s="260" t="s">
        <v>95</v>
      </c>
      <c r="D40" s="260"/>
      <c r="E40" s="261">
        <v>16</v>
      </c>
      <c r="F40" s="262">
        <v>0</v>
      </c>
      <c r="G40" s="263"/>
      <c r="I40" s="222"/>
      <c r="J40" s="222"/>
      <c r="K40" s="222"/>
      <c r="L40" s="222"/>
      <c r="M40" s="222"/>
      <c r="N40" s="222"/>
      <c r="O40" s="222"/>
      <c r="P40" s="222"/>
      <c r="Q40" s="222"/>
      <c r="R40" s="222"/>
      <c r="S40" s="7"/>
      <c r="T40" s="7"/>
    </row>
    <row r="41" spans="1:20" s="8" customFormat="1" ht="25.5" x14ac:dyDescent="0.25">
      <c r="A41" s="259"/>
      <c r="B41" s="140" t="s">
        <v>545</v>
      </c>
      <c r="C41" s="260" t="s">
        <v>95</v>
      </c>
      <c r="D41" s="260"/>
      <c r="E41" s="261">
        <v>15</v>
      </c>
      <c r="F41" s="262">
        <v>0</v>
      </c>
      <c r="G41" s="263"/>
      <c r="I41" s="222"/>
      <c r="J41" s="222"/>
      <c r="K41" s="222"/>
      <c r="L41" s="222"/>
      <c r="M41" s="222"/>
      <c r="N41" s="222"/>
      <c r="O41" s="222"/>
      <c r="P41" s="222"/>
      <c r="Q41" s="222"/>
      <c r="R41" s="222"/>
      <c r="S41" s="7"/>
      <c r="T41" s="7"/>
    </row>
    <row r="42" spans="1:20" s="8" customFormat="1" ht="25.5" x14ac:dyDescent="0.25">
      <c r="A42" s="259"/>
      <c r="B42" s="140" t="s">
        <v>507</v>
      </c>
      <c r="C42" s="260" t="s">
        <v>95</v>
      </c>
      <c r="D42" s="260"/>
      <c r="E42" s="261">
        <v>4</v>
      </c>
      <c r="F42" s="262">
        <v>0</v>
      </c>
      <c r="G42" s="263"/>
      <c r="I42" s="222"/>
      <c r="J42" s="222"/>
      <c r="K42" s="222"/>
      <c r="L42" s="222"/>
      <c r="M42" s="222"/>
      <c r="N42" s="222"/>
      <c r="O42" s="222"/>
      <c r="P42" s="222"/>
      <c r="Q42" s="222"/>
      <c r="R42" s="222"/>
      <c r="S42" s="7"/>
      <c r="T42" s="7"/>
    </row>
    <row r="43" spans="1:20" s="8" customFormat="1" ht="25.5" x14ac:dyDescent="0.25">
      <c r="A43" s="259"/>
      <c r="B43" s="140" t="s">
        <v>509</v>
      </c>
      <c r="C43" s="260" t="s">
        <v>95</v>
      </c>
      <c r="D43" s="260"/>
      <c r="E43" s="261">
        <v>14</v>
      </c>
      <c r="F43" s="262">
        <v>0</v>
      </c>
      <c r="G43" s="263"/>
      <c r="I43" s="222"/>
      <c r="J43" s="222"/>
      <c r="K43" s="222"/>
      <c r="L43" s="222"/>
      <c r="M43" s="222"/>
      <c r="N43" s="222"/>
      <c r="O43" s="222"/>
      <c r="P43" s="222"/>
      <c r="Q43" s="222"/>
      <c r="R43" s="222"/>
      <c r="S43" s="7"/>
      <c r="T43" s="7"/>
    </row>
    <row r="44" spans="1:20" s="8" customFormat="1" ht="76.5" x14ac:dyDescent="0.25">
      <c r="A44" s="259"/>
      <c r="B44" s="140" t="s">
        <v>547</v>
      </c>
      <c r="C44" s="260" t="s">
        <v>95</v>
      </c>
      <c r="D44" s="260"/>
      <c r="E44" s="261">
        <v>5</v>
      </c>
      <c r="F44" s="262">
        <v>0</v>
      </c>
      <c r="G44" s="263"/>
      <c r="I44" s="222"/>
      <c r="J44" s="222"/>
      <c r="K44" s="222"/>
      <c r="L44" s="222"/>
      <c r="M44" s="222"/>
      <c r="N44" s="222"/>
      <c r="O44" s="222"/>
      <c r="P44" s="222"/>
      <c r="Q44" s="222"/>
      <c r="R44" s="222"/>
      <c r="S44" s="7"/>
      <c r="T44" s="7"/>
    </row>
    <row r="45" spans="1:20" s="8" customFormat="1" ht="25.5" x14ac:dyDescent="0.25">
      <c r="A45" s="259"/>
      <c r="B45" s="140" t="s">
        <v>546</v>
      </c>
      <c r="C45" s="260" t="s">
        <v>95</v>
      </c>
      <c r="D45" s="260"/>
      <c r="E45" s="261">
        <v>1</v>
      </c>
      <c r="F45" s="262">
        <v>0</v>
      </c>
      <c r="G45" s="263"/>
      <c r="I45" s="222"/>
      <c r="J45" s="222"/>
      <c r="K45" s="222"/>
      <c r="L45" s="222"/>
      <c r="M45" s="222"/>
      <c r="N45" s="222"/>
      <c r="O45" s="222"/>
      <c r="P45" s="222"/>
      <c r="Q45" s="222"/>
      <c r="R45" s="222"/>
      <c r="S45" s="7"/>
      <c r="T45" s="7"/>
    </row>
    <row r="46" spans="1:20" s="7" customFormat="1" ht="51" x14ac:dyDescent="0.25">
      <c r="A46" s="259"/>
      <c r="B46" s="140" t="s">
        <v>539</v>
      </c>
      <c r="C46" s="260" t="s">
        <v>80</v>
      </c>
      <c r="D46" s="260"/>
      <c r="E46" s="261">
        <v>1</v>
      </c>
      <c r="F46" s="262">
        <v>0</v>
      </c>
      <c r="G46" s="263"/>
      <c r="I46" s="222"/>
      <c r="J46" s="222"/>
      <c r="K46" s="222"/>
      <c r="L46" s="222"/>
      <c r="M46" s="222"/>
      <c r="N46" s="222"/>
      <c r="O46" s="222"/>
      <c r="P46" s="222"/>
      <c r="Q46" s="222"/>
      <c r="R46" s="222"/>
    </row>
    <row r="47" spans="1:20" s="7" customFormat="1" ht="76.5" x14ac:dyDescent="0.25">
      <c r="A47" s="259"/>
      <c r="B47" s="140" t="s">
        <v>542</v>
      </c>
      <c r="C47" s="260" t="s">
        <v>80</v>
      </c>
      <c r="D47" s="260"/>
      <c r="E47" s="261">
        <v>1</v>
      </c>
      <c r="F47" s="262">
        <v>0</v>
      </c>
      <c r="G47" s="263"/>
      <c r="I47" s="222"/>
      <c r="J47" s="222"/>
      <c r="K47" s="222"/>
      <c r="L47" s="222"/>
      <c r="M47" s="222"/>
      <c r="N47" s="222"/>
      <c r="O47" s="222"/>
      <c r="P47" s="222"/>
      <c r="Q47" s="222"/>
      <c r="R47" s="222"/>
    </row>
    <row r="48" spans="1:20" s="7" customFormat="1" ht="63.75" x14ac:dyDescent="0.25">
      <c r="A48" s="259"/>
      <c r="B48" s="139" t="s">
        <v>541</v>
      </c>
      <c r="C48" s="260" t="s">
        <v>95</v>
      </c>
      <c r="D48" s="260"/>
      <c r="E48" s="261">
        <v>1</v>
      </c>
      <c r="F48" s="262">
        <v>0</v>
      </c>
      <c r="G48" s="263"/>
      <c r="I48" s="222"/>
      <c r="J48" s="222"/>
      <c r="K48" s="222"/>
      <c r="L48" s="222"/>
      <c r="M48" s="222"/>
      <c r="N48" s="222"/>
      <c r="O48" s="222"/>
      <c r="P48" s="222"/>
      <c r="Q48" s="222"/>
      <c r="R48" s="222"/>
    </row>
    <row r="49" spans="1:20" s="7" customFormat="1" ht="51" x14ac:dyDescent="0.25">
      <c r="A49" s="259"/>
      <c r="B49" s="139" t="s">
        <v>549</v>
      </c>
      <c r="C49" s="260" t="s">
        <v>95</v>
      </c>
      <c r="D49" s="260"/>
      <c r="E49" s="261">
        <v>2</v>
      </c>
      <c r="F49" s="262">
        <v>0</v>
      </c>
      <c r="G49" s="263"/>
      <c r="I49" s="222"/>
      <c r="J49" s="222"/>
      <c r="K49" s="222"/>
      <c r="L49" s="222"/>
      <c r="M49" s="222"/>
      <c r="N49" s="222"/>
      <c r="O49" s="222"/>
      <c r="P49" s="222"/>
      <c r="Q49" s="222"/>
      <c r="R49" s="222"/>
    </row>
    <row r="50" spans="1:20" s="7" customFormat="1" ht="51" x14ac:dyDescent="0.25">
      <c r="A50" s="259"/>
      <c r="B50" s="139" t="s">
        <v>548</v>
      </c>
      <c r="C50" s="260" t="s">
        <v>95</v>
      </c>
      <c r="D50" s="260"/>
      <c r="E50" s="261">
        <v>3</v>
      </c>
      <c r="F50" s="262">
        <v>0</v>
      </c>
      <c r="G50" s="263"/>
      <c r="I50" s="222"/>
      <c r="J50" s="222"/>
      <c r="K50" s="222"/>
      <c r="L50" s="222"/>
      <c r="M50" s="222"/>
      <c r="N50" s="222"/>
      <c r="O50" s="222"/>
      <c r="P50" s="222"/>
      <c r="Q50" s="222"/>
      <c r="R50" s="222"/>
    </row>
    <row r="51" spans="1:20" s="7" customFormat="1" ht="16.5" x14ac:dyDescent="0.25">
      <c r="A51" s="259"/>
      <c r="B51" s="140" t="s">
        <v>506</v>
      </c>
      <c r="C51" s="260" t="s">
        <v>80</v>
      </c>
      <c r="D51" s="260"/>
      <c r="E51" s="261">
        <v>1</v>
      </c>
      <c r="F51" s="262">
        <v>0</v>
      </c>
      <c r="G51" s="263"/>
      <c r="I51" s="222"/>
      <c r="J51" s="222"/>
      <c r="K51" s="222"/>
      <c r="L51" s="222"/>
      <c r="M51" s="222"/>
      <c r="N51" s="222"/>
      <c r="O51" s="222"/>
      <c r="P51" s="222"/>
      <c r="Q51" s="222"/>
      <c r="R51" s="222"/>
    </row>
    <row r="52" spans="1:20" s="7" customFormat="1" ht="64.5" thickBot="1" x14ac:dyDescent="0.3">
      <c r="A52" s="259"/>
      <c r="B52" s="140" t="s">
        <v>515</v>
      </c>
      <c r="C52" s="260" t="s">
        <v>80</v>
      </c>
      <c r="D52" s="260"/>
      <c r="E52" s="261">
        <v>1</v>
      </c>
      <c r="F52" s="262">
        <v>0</v>
      </c>
      <c r="G52" s="263"/>
      <c r="I52" s="222"/>
      <c r="J52" s="222"/>
      <c r="K52" s="222"/>
      <c r="L52" s="222"/>
      <c r="M52" s="222"/>
      <c r="N52" s="222"/>
      <c r="O52" s="222"/>
      <c r="P52" s="222"/>
      <c r="Q52" s="222"/>
      <c r="R52" s="222"/>
    </row>
    <row r="53" spans="1:20" s="146" customFormat="1" ht="301.5" thickTop="1" x14ac:dyDescent="0.25">
      <c r="A53" s="273" t="s">
        <v>164</v>
      </c>
      <c r="B53" s="258" t="s">
        <v>611</v>
      </c>
      <c r="C53" s="249" t="s">
        <v>80</v>
      </c>
      <c r="D53" s="249"/>
      <c r="E53" s="215">
        <v>1</v>
      </c>
      <c r="F53" s="216">
        <v>0</v>
      </c>
      <c r="G53" s="217">
        <f>SUM(F53*E53)</f>
        <v>0</v>
      </c>
    </row>
    <row r="54" spans="1:20" s="7" customFormat="1" ht="16.5" x14ac:dyDescent="0.25">
      <c r="A54" s="259"/>
      <c r="B54" s="226" t="s">
        <v>531</v>
      </c>
      <c r="C54" s="260"/>
      <c r="D54" s="260"/>
      <c r="E54" s="261"/>
      <c r="F54" s="262"/>
      <c r="G54" s="263"/>
    </row>
    <row r="55" spans="1:20" s="8" customFormat="1" ht="63.75" x14ac:dyDescent="0.25">
      <c r="A55" s="259"/>
      <c r="B55" s="139" t="s">
        <v>530</v>
      </c>
      <c r="C55" s="260" t="s">
        <v>516</v>
      </c>
      <c r="D55" s="260"/>
      <c r="E55" s="261">
        <v>75</v>
      </c>
      <c r="F55" s="262">
        <v>0</v>
      </c>
      <c r="G55" s="263">
        <f t="shared" ref="G55:G57" si="5">E55*F55</f>
        <v>0</v>
      </c>
      <c r="I55" s="7"/>
      <c r="J55" s="7"/>
      <c r="K55" s="7"/>
      <c r="L55" s="7"/>
      <c r="M55" s="7"/>
      <c r="N55" s="7"/>
      <c r="O55" s="7"/>
      <c r="P55" s="7"/>
      <c r="Q55" s="7"/>
      <c r="R55" s="7"/>
      <c r="S55" s="7"/>
      <c r="T55" s="7"/>
    </row>
    <row r="56" spans="1:20" s="8" customFormat="1" ht="38.25" x14ac:dyDescent="0.25">
      <c r="A56" s="259"/>
      <c r="B56" s="139" t="s">
        <v>527</v>
      </c>
      <c r="C56" s="260" t="s">
        <v>80</v>
      </c>
      <c r="D56" s="260"/>
      <c r="E56" s="261">
        <v>1</v>
      </c>
      <c r="F56" s="262">
        <v>0</v>
      </c>
      <c r="G56" s="263">
        <f t="shared" si="5"/>
        <v>0</v>
      </c>
      <c r="I56" s="7"/>
      <c r="J56" s="7"/>
      <c r="K56" s="7"/>
      <c r="L56" s="7"/>
      <c r="M56" s="7"/>
      <c r="N56" s="7"/>
      <c r="O56" s="7"/>
      <c r="P56" s="7"/>
      <c r="Q56" s="7"/>
      <c r="R56" s="7"/>
      <c r="S56" s="7"/>
      <c r="T56" s="7"/>
    </row>
    <row r="57" spans="1:20" s="8" customFormat="1" ht="16.5" x14ac:dyDescent="0.25">
      <c r="A57" s="259"/>
      <c r="B57" s="140" t="s">
        <v>526</v>
      </c>
      <c r="C57" s="260" t="s">
        <v>80</v>
      </c>
      <c r="D57" s="260"/>
      <c r="E57" s="261">
        <v>1</v>
      </c>
      <c r="F57" s="262">
        <v>0</v>
      </c>
      <c r="G57" s="263">
        <f t="shared" si="5"/>
        <v>0</v>
      </c>
      <c r="I57" s="7"/>
      <c r="J57" s="7"/>
      <c r="K57" s="7"/>
      <c r="L57" s="7"/>
      <c r="M57" s="7"/>
      <c r="N57" s="7"/>
      <c r="O57" s="7"/>
      <c r="P57" s="7"/>
      <c r="Q57" s="7"/>
      <c r="R57" s="7"/>
      <c r="S57" s="7"/>
      <c r="T57" s="7"/>
    </row>
    <row r="58" spans="1:20" s="7" customFormat="1" ht="16.5" x14ac:dyDescent="0.25">
      <c r="A58" s="259"/>
      <c r="B58" s="226" t="s">
        <v>517</v>
      </c>
      <c r="C58" s="260"/>
      <c r="D58" s="260"/>
      <c r="E58" s="261"/>
      <c r="F58" s="262"/>
      <c r="G58" s="263"/>
    </row>
    <row r="59" spans="1:20" s="7" customFormat="1" ht="25.5" x14ac:dyDescent="0.25">
      <c r="A59" s="259"/>
      <c r="B59" s="140" t="s">
        <v>528</v>
      </c>
      <c r="C59" s="260" t="s">
        <v>95</v>
      </c>
      <c r="D59" s="260"/>
      <c r="E59" s="261">
        <v>6</v>
      </c>
      <c r="F59" s="262">
        <v>0</v>
      </c>
      <c r="G59" s="263">
        <f t="shared" ref="G59:G65" si="6">E59*F59</f>
        <v>0</v>
      </c>
    </row>
    <row r="60" spans="1:20" s="8" customFormat="1" ht="25.5" x14ac:dyDescent="0.25">
      <c r="A60" s="268"/>
      <c r="B60" s="139" t="s">
        <v>529</v>
      </c>
      <c r="C60" s="260" t="s">
        <v>95</v>
      </c>
      <c r="D60" s="260"/>
      <c r="E60" s="261">
        <v>7</v>
      </c>
      <c r="F60" s="262">
        <v>0</v>
      </c>
      <c r="G60" s="263">
        <f t="shared" si="6"/>
        <v>0</v>
      </c>
    </row>
    <row r="61" spans="1:20" s="7" customFormat="1" ht="25.5" x14ac:dyDescent="0.25">
      <c r="A61" s="259"/>
      <c r="B61" s="140" t="s">
        <v>550</v>
      </c>
      <c r="C61" s="260" t="s">
        <v>95</v>
      </c>
      <c r="D61" s="260"/>
      <c r="E61" s="261">
        <v>2</v>
      </c>
      <c r="F61" s="262">
        <v>0</v>
      </c>
      <c r="G61" s="263">
        <f t="shared" ref="G61" si="7">E61*F61</f>
        <v>0</v>
      </c>
    </row>
    <row r="62" spans="1:20" s="8" customFormat="1" ht="38.25" x14ac:dyDescent="0.25">
      <c r="A62" s="268"/>
      <c r="B62" s="139" t="s">
        <v>524</v>
      </c>
      <c r="C62" s="260" t="s">
        <v>95</v>
      </c>
      <c r="D62" s="260"/>
      <c r="E62" s="261">
        <v>6</v>
      </c>
      <c r="F62" s="262">
        <v>0</v>
      </c>
      <c r="G62" s="263">
        <f t="shared" si="6"/>
        <v>0</v>
      </c>
    </row>
    <row r="63" spans="1:20" s="8" customFormat="1" ht="25.5" x14ac:dyDescent="0.25">
      <c r="A63" s="268"/>
      <c r="B63" s="139" t="s">
        <v>521</v>
      </c>
      <c r="C63" s="260" t="s">
        <v>95</v>
      </c>
      <c r="D63" s="260"/>
      <c r="E63" s="261">
        <v>7</v>
      </c>
      <c r="F63" s="262">
        <v>0</v>
      </c>
      <c r="G63" s="263">
        <f t="shared" si="6"/>
        <v>0</v>
      </c>
    </row>
    <row r="64" spans="1:20" s="8" customFormat="1" ht="51" x14ac:dyDescent="0.25">
      <c r="A64" s="268"/>
      <c r="B64" s="139" t="s">
        <v>525</v>
      </c>
      <c r="C64" s="260" t="s">
        <v>95</v>
      </c>
      <c r="D64" s="260"/>
      <c r="E64" s="261">
        <v>1</v>
      </c>
      <c r="F64" s="262">
        <v>0</v>
      </c>
      <c r="G64" s="263">
        <f t="shared" si="6"/>
        <v>0</v>
      </c>
    </row>
    <row r="65" spans="1:18" s="8" customFormat="1" ht="76.5" x14ac:dyDescent="0.25">
      <c r="A65" s="268"/>
      <c r="B65" s="139" t="s">
        <v>538</v>
      </c>
      <c r="C65" s="260" t="s">
        <v>95</v>
      </c>
      <c r="D65" s="260"/>
      <c r="E65" s="261">
        <v>6</v>
      </c>
      <c r="F65" s="262">
        <v>0</v>
      </c>
      <c r="G65" s="263">
        <f t="shared" si="6"/>
        <v>0</v>
      </c>
    </row>
    <row r="66" spans="1:18" s="8" customFormat="1" ht="16.5" x14ac:dyDescent="0.25">
      <c r="A66" s="268"/>
      <c r="B66" s="226" t="s">
        <v>518</v>
      </c>
      <c r="C66" s="260"/>
      <c r="D66" s="260"/>
      <c r="E66" s="261"/>
      <c r="F66" s="262"/>
      <c r="G66" s="263"/>
    </row>
    <row r="67" spans="1:18" s="8" customFormat="1" ht="51" x14ac:dyDescent="0.25">
      <c r="A67" s="268"/>
      <c r="B67" s="139" t="s">
        <v>532</v>
      </c>
      <c r="C67" s="260" t="s">
        <v>516</v>
      </c>
      <c r="D67" s="260"/>
      <c r="E67" s="261">
        <v>15</v>
      </c>
      <c r="F67" s="262">
        <v>0</v>
      </c>
      <c r="G67" s="263">
        <f t="shared" ref="G67:G71" si="8">E67*F67</f>
        <v>0</v>
      </c>
    </row>
    <row r="68" spans="1:18" s="8" customFormat="1" ht="51" x14ac:dyDescent="0.25">
      <c r="A68" s="268"/>
      <c r="B68" s="139" t="s">
        <v>533</v>
      </c>
      <c r="C68" s="260" t="s">
        <v>516</v>
      </c>
      <c r="D68" s="260"/>
      <c r="E68" s="261">
        <v>35</v>
      </c>
      <c r="F68" s="262">
        <v>0</v>
      </c>
      <c r="G68" s="263">
        <f t="shared" si="8"/>
        <v>0</v>
      </c>
    </row>
    <row r="69" spans="1:18" s="8" customFormat="1" ht="51" x14ac:dyDescent="0.25">
      <c r="A69" s="268"/>
      <c r="B69" s="139" t="s">
        <v>534</v>
      </c>
      <c r="C69" s="260" t="s">
        <v>516</v>
      </c>
      <c r="D69" s="260"/>
      <c r="E69" s="261">
        <v>15</v>
      </c>
      <c r="F69" s="262">
        <v>0</v>
      </c>
      <c r="G69" s="263">
        <f t="shared" si="8"/>
        <v>0</v>
      </c>
    </row>
    <row r="70" spans="1:18" s="8" customFormat="1" ht="38.25" x14ac:dyDescent="0.25">
      <c r="A70" s="268"/>
      <c r="B70" s="139" t="s">
        <v>527</v>
      </c>
      <c r="C70" s="260" t="s">
        <v>80</v>
      </c>
      <c r="D70" s="260"/>
      <c r="E70" s="261">
        <v>1</v>
      </c>
      <c r="F70" s="262">
        <v>0</v>
      </c>
      <c r="G70" s="263">
        <f t="shared" si="8"/>
        <v>0</v>
      </c>
    </row>
    <row r="71" spans="1:18" s="8" customFormat="1" ht="16.5" x14ac:dyDescent="0.25">
      <c r="A71" s="268"/>
      <c r="B71" s="140" t="s">
        <v>526</v>
      </c>
      <c r="C71" s="260" t="s">
        <v>80</v>
      </c>
      <c r="D71" s="260"/>
      <c r="E71" s="261">
        <v>1</v>
      </c>
      <c r="F71" s="262">
        <v>0</v>
      </c>
      <c r="G71" s="263">
        <f t="shared" si="8"/>
        <v>0</v>
      </c>
    </row>
    <row r="72" spans="1:18" s="8" customFormat="1" ht="16.5" x14ac:dyDescent="0.25">
      <c r="A72" s="268"/>
      <c r="B72" s="226" t="s">
        <v>519</v>
      </c>
      <c r="C72" s="260"/>
      <c r="D72" s="260"/>
      <c r="E72" s="261"/>
      <c r="F72" s="262"/>
      <c r="G72" s="263"/>
    </row>
    <row r="73" spans="1:18" s="8" customFormat="1" ht="38.25" x14ac:dyDescent="0.25">
      <c r="A73" s="268"/>
      <c r="B73" s="139" t="s">
        <v>540</v>
      </c>
      <c r="C73" s="260" t="s">
        <v>516</v>
      </c>
      <c r="D73" s="260"/>
      <c r="E73" s="261">
        <f>16*3+32*2+10.5*2</f>
        <v>133</v>
      </c>
      <c r="F73" s="262">
        <v>0</v>
      </c>
      <c r="G73" s="263">
        <f t="shared" ref="G73:G77" si="9">E73*F73</f>
        <v>0</v>
      </c>
    </row>
    <row r="74" spans="1:18" s="8" customFormat="1" ht="38.25" x14ac:dyDescent="0.25">
      <c r="A74" s="268"/>
      <c r="B74" s="139" t="s">
        <v>527</v>
      </c>
      <c r="C74" s="260" t="s">
        <v>80</v>
      </c>
      <c r="D74" s="260"/>
      <c r="E74" s="261">
        <v>1</v>
      </c>
      <c r="F74" s="262">
        <v>0</v>
      </c>
      <c r="G74" s="263">
        <f t="shared" si="9"/>
        <v>0</v>
      </c>
    </row>
    <row r="75" spans="1:18" s="8" customFormat="1" ht="16.5" x14ac:dyDescent="0.25">
      <c r="A75" s="268"/>
      <c r="B75" s="139" t="s">
        <v>520</v>
      </c>
      <c r="C75" s="260" t="s">
        <v>95</v>
      </c>
      <c r="D75" s="260"/>
      <c r="E75" s="261">
        <f>16*3</f>
        <v>48</v>
      </c>
      <c r="F75" s="262">
        <v>0</v>
      </c>
      <c r="G75" s="263">
        <f t="shared" si="9"/>
        <v>0</v>
      </c>
    </row>
    <row r="76" spans="1:18" s="8" customFormat="1" ht="16.5" x14ac:dyDescent="0.25">
      <c r="A76" s="268"/>
      <c r="B76" s="139" t="s">
        <v>535</v>
      </c>
      <c r="C76" s="260" t="s">
        <v>95</v>
      </c>
      <c r="D76" s="260"/>
      <c r="E76" s="261">
        <f>32*2+10.5*2</f>
        <v>85</v>
      </c>
      <c r="F76" s="262">
        <v>0</v>
      </c>
      <c r="G76" s="263">
        <f t="shared" si="9"/>
        <v>0</v>
      </c>
    </row>
    <row r="77" spans="1:18" s="8" customFormat="1" ht="17.25" thickBot="1" x14ac:dyDescent="0.3">
      <c r="A77" s="268"/>
      <c r="B77" s="140" t="s">
        <v>526</v>
      </c>
      <c r="C77" s="260" t="s">
        <v>80</v>
      </c>
      <c r="D77" s="260"/>
      <c r="E77" s="261">
        <v>1</v>
      </c>
      <c r="F77" s="262">
        <v>0</v>
      </c>
      <c r="G77" s="263">
        <f t="shared" si="9"/>
        <v>0</v>
      </c>
    </row>
    <row r="78" spans="1:18" s="8" customFormat="1" ht="145.5" thickTop="1" x14ac:dyDescent="0.25">
      <c r="A78" s="273" t="s">
        <v>457</v>
      </c>
      <c r="B78" s="258" t="s">
        <v>612</v>
      </c>
      <c r="C78" s="249" t="s">
        <v>80</v>
      </c>
      <c r="D78" s="249"/>
      <c r="E78" s="215">
        <v>1</v>
      </c>
      <c r="F78" s="216">
        <v>0</v>
      </c>
      <c r="G78" s="217">
        <f>SUM(F78*E78)</f>
        <v>0</v>
      </c>
    </row>
    <row r="79" spans="1:18" s="7" customFormat="1" ht="63.75" x14ac:dyDescent="0.25">
      <c r="A79" s="259"/>
      <c r="B79" s="140" t="s">
        <v>543</v>
      </c>
      <c r="C79" s="260" t="s">
        <v>80</v>
      </c>
      <c r="D79" s="260"/>
      <c r="E79" s="261">
        <v>1</v>
      </c>
      <c r="F79" s="262">
        <v>0</v>
      </c>
      <c r="G79" s="263">
        <f t="shared" ref="G79:G88" si="10">E79*F79</f>
        <v>0</v>
      </c>
      <c r="I79" s="222"/>
      <c r="J79" s="222"/>
      <c r="K79" s="222"/>
      <c r="L79" s="222"/>
      <c r="M79" s="222"/>
      <c r="N79" s="222"/>
      <c r="O79" s="222"/>
      <c r="P79" s="222"/>
      <c r="Q79" s="222"/>
      <c r="R79" s="222"/>
    </row>
    <row r="80" spans="1:18" s="7" customFormat="1" ht="63.75" x14ac:dyDescent="0.25">
      <c r="A80" s="259"/>
      <c r="B80" s="140" t="s">
        <v>544</v>
      </c>
      <c r="C80" s="260" t="s">
        <v>80</v>
      </c>
      <c r="D80" s="260"/>
      <c r="E80" s="261">
        <v>1</v>
      </c>
      <c r="F80" s="262">
        <v>0</v>
      </c>
      <c r="G80" s="263">
        <f t="shared" si="10"/>
        <v>0</v>
      </c>
      <c r="I80" s="222"/>
      <c r="J80" s="222"/>
      <c r="K80" s="222"/>
      <c r="L80" s="222"/>
      <c r="M80" s="222"/>
      <c r="N80" s="222"/>
      <c r="O80" s="222"/>
      <c r="P80" s="222"/>
      <c r="Q80" s="222"/>
      <c r="R80" s="222"/>
    </row>
    <row r="81" spans="1:7" s="146" customFormat="1" ht="51" x14ac:dyDescent="0.25">
      <c r="A81" s="273"/>
      <c r="B81" s="140" t="s">
        <v>551</v>
      </c>
      <c r="C81" s="260" t="s">
        <v>95</v>
      </c>
      <c r="D81" s="260"/>
      <c r="E81" s="261">
        <v>1</v>
      </c>
      <c r="F81" s="262">
        <v>0</v>
      </c>
      <c r="G81" s="263">
        <f t="shared" si="10"/>
        <v>0</v>
      </c>
    </row>
    <row r="82" spans="1:7" s="146" customFormat="1" ht="38.25" x14ac:dyDescent="0.25">
      <c r="A82" s="257"/>
      <c r="B82" s="274" t="s">
        <v>537</v>
      </c>
      <c r="C82" s="275" t="s">
        <v>95</v>
      </c>
      <c r="D82" s="275"/>
      <c r="E82" s="276">
        <v>2</v>
      </c>
      <c r="F82" s="262">
        <v>0</v>
      </c>
      <c r="G82" s="263">
        <f t="shared" si="10"/>
        <v>0</v>
      </c>
    </row>
    <row r="83" spans="1:7" s="146" customFormat="1" ht="63.75" x14ac:dyDescent="0.25">
      <c r="A83" s="257"/>
      <c r="B83" s="274" t="s">
        <v>553</v>
      </c>
      <c r="C83" s="275" t="s">
        <v>95</v>
      </c>
      <c r="D83" s="275"/>
      <c r="E83" s="276">
        <v>2</v>
      </c>
      <c r="F83" s="262">
        <v>0</v>
      </c>
      <c r="G83" s="263">
        <f t="shared" si="10"/>
        <v>0</v>
      </c>
    </row>
    <row r="84" spans="1:7" s="146" customFormat="1" ht="38.25" x14ac:dyDescent="0.25">
      <c r="A84" s="257"/>
      <c r="B84" s="274" t="s">
        <v>554</v>
      </c>
      <c r="C84" s="275" t="s">
        <v>95</v>
      </c>
      <c r="D84" s="275"/>
      <c r="E84" s="276">
        <v>1</v>
      </c>
      <c r="F84" s="262">
        <v>0</v>
      </c>
      <c r="G84" s="263">
        <f t="shared" ref="G84" si="11">E84*F84</f>
        <v>0</v>
      </c>
    </row>
    <row r="85" spans="1:7" s="146" customFormat="1" ht="38.25" x14ac:dyDescent="0.25">
      <c r="A85" s="257"/>
      <c r="B85" s="290" t="s">
        <v>556</v>
      </c>
      <c r="C85" s="275" t="s">
        <v>95</v>
      </c>
      <c r="D85" s="275"/>
      <c r="E85" s="276">
        <v>1</v>
      </c>
      <c r="F85" s="262">
        <v>0</v>
      </c>
      <c r="G85" s="263">
        <f t="shared" ref="G85:G87" si="12">E85*F85</f>
        <v>0</v>
      </c>
    </row>
    <row r="86" spans="1:7" s="146" customFormat="1" ht="25.5" x14ac:dyDescent="0.25">
      <c r="A86" s="257"/>
      <c r="B86" s="290" t="s">
        <v>555</v>
      </c>
      <c r="C86" s="275" t="s">
        <v>95</v>
      </c>
      <c r="D86" s="275"/>
      <c r="E86" s="276">
        <v>2</v>
      </c>
      <c r="F86" s="262">
        <v>0</v>
      </c>
      <c r="G86" s="263">
        <f t="shared" si="12"/>
        <v>0</v>
      </c>
    </row>
    <row r="87" spans="1:7" s="146" customFormat="1" ht="16.5" x14ac:dyDescent="0.25">
      <c r="A87" s="257"/>
      <c r="B87" s="290" t="s">
        <v>552</v>
      </c>
      <c r="C87" s="275" t="s">
        <v>95</v>
      </c>
      <c r="D87" s="275"/>
      <c r="E87" s="276">
        <v>2</v>
      </c>
      <c r="F87" s="262">
        <v>0</v>
      </c>
      <c r="G87" s="263">
        <f t="shared" si="12"/>
        <v>0</v>
      </c>
    </row>
    <row r="88" spans="1:7" s="146" customFormat="1" ht="17.25" thickBot="1" x14ac:dyDescent="0.3">
      <c r="A88" s="257"/>
      <c r="B88" s="277" t="s">
        <v>526</v>
      </c>
      <c r="C88" s="278" t="s">
        <v>80</v>
      </c>
      <c r="D88" s="278"/>
      <c r="E88" s="279">
        <v>1</v>
      </c>
      <c r="F88" s="280">
        <v>0</v>
      </c>
      <c r="G88" s="281">
        <f t="shared" si="10"/>
        <v>0</v>
      </c>
    </row>
    <row r="89" spans="1:7" s="8" customFormat="1" ht="17.25" thickTop="1" x14ac:dyDescent="0.25">
      <c r="A89" s="273" t="s">
        <v>458</v>
      </c>
      <c r="B89" s="227" t="s">
        <v>438</v>
      </c>
      <c r="C89" s="249"/>
      <c r="D89" s="249"/>
      <c r="E89" s="250"/>
      <c r="F89" s="251"/>
      <c r="G89" s="291"/>
    </row>
    <row r="90" spans="1:7" s="8" customFormat="1" ht="16.5" x14ac:dyDescent="0.25">
      <c r="A90" s="273" t="s">
        <v>459</v>
      </c>
      <c r="B90" s="290" t="s">
        <v>14</v>
      </c>
      <c r="C90" s="164" t="s">
        <v>12</v>
      </c>
      <c r="D90" s="164"/>
      <c r="E90" s="292">
        <v>2</v>
      </c>
      <c r="F90" s="293">
        <v>0</v>
      </c>
      <c r="G90" s="294">
        <f>E90*F90</f>
        <v>0</v>
      </c>
    </row>
    <row r="91" spans="1:7" s="7" customFormat="1" ht="17.25" thickBot="1" x14ac:dyDescent="0.3">
      <c r="A91" s="189" t="s">
        <v>461</v>
      </c>
      <c r="B91" s="49" t="s">
        <v>13</v>
      </c>
      <c r="C91" s="157" t="s">
        <v>12</v>
      </c>
      <c r="D91" s="157"/>
      <c r="E91" s="158">
        <v>2</v>
      </c>
      <c r="F91" s="159">
        <v>0</v>
      </c>
      <c r="G91" s="160">
        <f>E91*F91</f>
        <v>0</v>
      </c>
    </row>
    <row r="92" spans="1:7" ht="16.5" thickTop="1" thickBot="1" x14ac:dyDescent="0.3">
      <c r="A92" s="186"/>
      <c r="B92" s="51"/>
      <c r="C92" s="52"/>
      <c r="D92" s="52"/>
      <c r="E92" s="97"/>
      <c r="F92" s="98"/>
      <c r="G92" s="99">
        <f>SUM(G16:G91)</f>
        <v>0</v>
      </c>
    </row>
    <row r="93" spans="1:7" ht="15.75" thickTop="1" x14ac:dyDescent="0.25">
      <c r="F93" s="100"/>
    </row>
    <row r="94" spans="1:7" x14ac:dyDescent="0.25">
      <c r="A94" s="187"/>
      <c r="B94" s="5"/>
    </row>
    <row r="95" spans="1:7" x14ac:dyDescent="0.25">
      <c r="A95" s="187"/>
      <c r="B95" s="3"/>
    </row>
    <row r="96" spans="1:7" x14ac:dyDescent="0.25">
      <c r="A96" s="187"/>
      <c r="B96" s="4"/>
    </row>
    <row r="97" spans="1:2" x14ac:dyDescent="0.25">
      <c r="A97" s="187"/>
      <c r="B97" s="5"/>
    </row>
    <row r="98" spans="1:2" x14ac:dyDescent="0.25">
      <c r="A98" s="187"/>
      <c r="B98" s="6"/>
    </row>
    <row r="99" spans="1:2" x14ac:dyDescent="0.25">
      <c r="A99" s="187"/>
      <c r="B99" s="3"/>
    </row>
    <row r="100" spans="1:2" x14ac:dyDescent="0.25">
      <c r="A100" s="187"/>
      <c r="B100" s="6"/>
    </row>
    <row r="101" spans="1:2" x14ac:dyDescent="0.25">
      <c r="A101" s="187"/>
      <c r="B101" s="3"/>
    </row>
    <row r="102" spans="1:2" x14ac:dyDescent="0.25">
      <c r="A102" s="187"/>
      <c r="B102" s="5"/>
    </row>
    <row r="103" spans="1:2" x14ac:dyDescent="0.25">
      <c r="A103" s="187"/>
      <c r="B103" s="3"/>
    </row>
    <row r="104" spans="1:2" x14ac:dyDescent="0.25">
      <c r="A104" s="187"/>
      <c r="B104" s="3"/>
    </row>
    <row r="105" spans="1:2" x14ac:dyDescent="0.25">
      <c r="A105" s="187"/>
      <c r="B105" s="3"/>
    </row>
    <row r="106" spans="1:2" x14ac:dyDescent="0.25">
      <c r="A106" s="187"/>
      <c r="B106" s="3"/>
    </row>
    <row r="107" spans="1:2" x14ac:dyDescent="0.25">
      <c r="A107" s="187"/>
      <c r="B107" s="23"/>
    </row>
  </sheetData>
  <mergeCells count="2">
    <mergeCell ref="A3:B3"/>
    <mergeCell ref="A1:G1"/>
  </mergeCells>
  <printOptions horizontalCentered="1"/>
  <pageMargins left="0.39370078740157483" right="0.39370078740157483" top="0.39370078740157483" bottom="0.59055118110236227" header="0.31496062992125984" footer="0.31496062992125984"/>
  <pageSetup paperSize="9" orientation="landscape" r:id="rId1"/>
  <headerFooter>
    <oddFooter>&amp;L&amp;8CONCEPTION ET ADAPTATION ARCHITECTURALE-STRUCTURALE DES PLAN TYPES DE CENTRES PUBLICS DE FORMATION PROFESSIONNELLE ET D’ETUDES TECHNIQUES EN VUE DE LA CONSTRUCTION DU CENTRE PROFESSIONNELLE DES CAYES</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FF00"/>
  </sheetPr>
  <dimension ref="A1:T97"/>
  <sheetViews>
    <sheetView topLeftCell="B76" zoomScaleNormal="100" workbookViewId="0">
      <selection activeCell="F11" sqref="F11"/>
    </sheetView>
  </sheetViews>
  <sheetFormatPr defaultColWidth="11.5703125" defaultRowHeight="15" x14ac:dyDescent="0.25"/>
  <cols>
    <col min="1" max="1" width="5.7109375" style="181" customWidth="1"/>
    <col min="2" max="2" width="85.42578125" style="22" customWidth="1"/>
    <col min="3" max="3" width="8.28515625" customWidth="1"/>
    <col min="4" max="4" width="3.7109375" customWidth="1"/>
    <col min="5" max="5" width="10" style="92" customWidth="1"/>
    <col min="6" max="6" width="10" style="93" customWidth="1"/>
    <col min="7" max="7" width="14.85546875" style="92" customWidth="1"/>
  </cols>
  <sheetData>
    <row r="1" spans="1:8" ht="33.950000000000003" customHeight="1" thickTop="1" thickBot="1" x14ac:dyDescent="0.3">
      <c r="A1" s="356" t="s">
        <v>61</v>
      </c>
      <c r="B1" s="357"/>
      <c r="C1" s="357"/>
      <c r="D1" s="357"/>
      <c r="E1" s="357"/>
      <c r="F1" s="357"/>
      <c r="G1" s="358"/>
    </row>
    <row r="2" spans="1:8" ht="16.5" thickTop="1" thickBot="1" x14ac:dyDescent="0.3">
      <c r="C2" s="1" t="s">
        <v>615</v>
      </c>
      <c r="D2" s="1"/>
      <c r="E2" s="92" t="s">
        <v>4</v>
      </c>
      <c r="F2" s="93" t="s">
        <v>5</v>
      </c>
      <c r="G2" s="92" t="s">
        <v>6</v>
      </c>
    </row>
    <row r="3" spans="1:8" ht="16.5" thickTop="1" thickBot="1" x14ac:dyDescent="0.3">
      <c r="A3" s="354" t="s">
        <v>63</v>
      </c>
      <c r="B3" s="355"/>
      <c r="C3" s="53">
        <f>341.37+(65.36*50%)</f>
        <v>374.05</v>
      </c>
      <c r="D3" s="54" t="s">
        <v>0</v>
      </c>
      <c r="E3" s="94"/>
      <c r="F3" s="95"/>
      <c r="G3" s="96">
        <f>G82/C3</f>
        <v>0</v>
      </c>
    </row>
    <row r="4" spans="1:8" ht="40.5" customHeight="1" thickTop="1" x14ac:dyDescent="0.25">
      <c r="A4" s="188" t="s">
        <v>165</v>
      </c>
      <c r="B4" s="297" t="s">
        <v>99</v>
      </c>
      <c r="C4" s="200" t="s">
        <v>2</v>
      </c>
      <c r="D4" s="201"/>
      <c r="E4" s="319">
        <v>759.85</v>
      </c>
      <c r="F4" s="192">
        <v>0</v>
      </c>
      <c r="G4" s="193">
        <f>SUM(F4*E4)</f>
        <v>0</v>
      </c>
    </row>
    <row r="5" spans="1:8" ht="40.5" customHeight="1" x14ac:dyDescent="0.25">
      <c r="A5" s="189" t="s">
        <v>166</v>
      </c>
      <c r="B5" s="298" t="s">
        <v>490</v>
      </c>
      <c r="C5" s="116" t="s">
        <v>2</v>
      </c>
      <c r="D5" s="117"/>
      <c r="E5" s="299">
        <v>357.13</v>
      </c>
      <c r="F5" s="151">
        <v>0</v>
      </c>
      <c r="G5" s="123">
        <f>SUM(F5*E5)</f>
        <v>0</v>
      </c>
    </row>
    <row r="6" spans="1:8" ht="40.5" customHeight="1" x14ac:dyDescent="0.25">
      <c r="A6" s="189" t="s">
        <v>167</v>
      </c>
      <c r="B6" s="298" t="s">
        <v>29</v>
      </c>
      <c r="C6" s="116" t="s">
        <v>2</v>
      </c>
      <c r="D6" s="117"/>
      <c r="E6" s="299">
        <v>25.01</v>
      </c>
      <c r="F6" s="151">
        <v>0</v>
      </c>
      <c r="G6" s="123">
        <f>SUM(F6*E6)</f>
        <v>0</v>
      </c>
    </row>
    <row r="7" spans="1:8" ht="40.5" customHeight="1" x14ac:dyDescent="0.25">
      <c r="A7" s="189" t="s">
        <v>168</v>
      </c>
      <c r="B7" s="300" t="s">
        <v>98</v>
      </c>
      <c r="C7" s="116" t="s">
        <v>2</v>
      </c>
      <c r="D7" s="117"/>
      <c r="E7" s="299">
        <v>152.52000000000001</v>
      </c>
      <c r="F7" s="151">
        <v>0</v>
      </c>
      <c r="G7" s="123">
        <f t="shared" ref="G7" si="0">SUM(F7*E7)</f>
        <v>0</v>
      </c>
    </row>
    <row r="8" spans="1:8" ht="30" customHeight="1" x14ac:dyDescent="0.25">
      <c r="A8" s="307"/>
      <c r="B8" s="301" t="s">
        <v>616</v>
      </c>
      <c r="C8" s="302" t="s">
        <v>2</v>
      </c>
      <c r="D8" s="303"/>
      <c r="E8" s="304">
        <v>34.54</v>
      </c>
      <c r="F8" s="305">
        <v>0</v>
      </c>
      <c r="G8" s="318"/>
      <c r="H8" s="374"/>
    </row>
    <row r="9" spans="1:8" ht="30" customHeight="1" x14ac:dyDescent="0.25">
      <c r="A9" s="307"/>
      <c r="B9" s="301" t="s">
        <v>617</v>
      </c>
      <c r="C9" s="302" t="s">
        <v>2</v>
      </c>
      <c r="D9" s="303"/>
      <c r="E9" s="304">
        <v>84.99</v>
      </c>
      <c r="F9" s="305">
        <v>0</v>
      </c>
      <c r="G9" s="318"/>
      <c r="H9" s="374"/>
    </row>
    <row r="10" spans="1:8" ht="30" customHeight="1" x14ac:dyDescent="0.25">
      <c r="A10" s="307"/>
      <c r="B10" s="301" t="s">
        <v>618</v>
      </c>
      <c r="C10" s="302" t="s">
        <v>2</v>
      </c>
      <c r="D10" s="303"/>
      <c r="E10" s="304">
        <v>14.99</v>
      </c>
      <c r="F10" s="305">
        <v>0</v>
      </c>
      <c r="G10" s="318"/>
      <c r="H10" s="374"/>
    </row>
    <row r="11" spans="1:8" ht="96.75" x14ac:dyDescent="0.25">
      <c r="A11" s="189" t="s">
        <v>169</v>
      </c>
      <c r="B11" s="135" t="s">
        <v>79</v>
      </c>
      <c r="C11" s="116" t="s">
        <v>0</v>
      </c>
      <c r="D11" s="117"/>
      <c r="E11" s="150">
        <f>65.36</f>
        <v>65.36</v>
      </c>
      <c r="F11" s="151">
        <v>0</v>
      </c>
      <c r="G11" s="123">
        <f t="shared" ref="G11:G15" si="1">SUM(F11*E11)</f>
        <v>0</v>
      </c>
    </row>
    <row r="12" spans="1:8" ht="96.75" x14ac:dyDescent="0.25">
      <c r="A12" s="189" t="s">
        <v>170</v>
      </c>
      <c r="B12" s="135" t="s">
        <v>30</v>
      </c>
      <c r="C12" s="116" t="s">
        <v>2</v>
      </c>
      <c r="D12" s="117"/>
      <c r="E12" s="150">
        <v>5.588000000000001</v>
      </c>
      <c r="F12" s="151">
        <v>0</v>
      </c>
      <c r="G12" s="123">
        <f t="shared" si="1"/>
        <v>0</v>
      </c>
    </row>
    <row r="13" spans="1:8" ht="96.75" x14ac:dyDescent="0.25">
      <c r="A13" s="189" t="s">
        <v>171</v>
      </c>
      <c r="B13" s="135" t="s">
        <v>31</v>
      </c>
      <c r="C13" s="116" t="s">
        <v>2</v>
      </c>
      <c r="D13" s="117"/>
      <c r="E13" s="150">
        <v>52.484999999999992</v>
      </c>
      <c r="F13" s="151">
        <v>0</v>
      </c>
      <c r="G13" s="123">
        <f t="shared" si="1"/>
        <v>0</v>
      </c>
    </row>
    <row r="14" spans="1:8" ht="108.75" x14ac:dyDescent="0.25">
      <c r="A14" s="189" t="s">
        <v>172</v>
      </c>
      <c r="B14" s="135" t="s">
        <v>32</v>
      </c>
      <c r="C14" s="116" t="s">
        <v>2</v>
      </c>
      <c r="D14" s="117"/>
      <c r="E14" s="150">
        <v>37.040000000000006</v>
      </c>
      <c r="F14" s="151">
        <v>0</v>
      </c>
      <c r="G14" s="123">
        <f t="shared" si="1"/>
        <v>0</v>
      </c>
    </row>
    <row r="15" spans="1:8" ht="144.75" x14ac:dyDescent="0.25">
      <c r="A15" s="273" t="s">
        <v>173</v>
      </c>
      <c r="B15" s="135" t="s">
        <v>34</v>
      </c>
      <c r="C15" s="269" t="s">
        <v>0</v>
      </c>
      <c r="D15" s="269"/>
      <c r="E15" s="150">
        <v>72</v>
      </c>
      <c r="F15" s="151">
        <v>0</v>
      </c>
      <c r="G15" s="123">
        <f t="shared" si="1"/>
        <v>0</v>
      </c>
    </row>
    <row r="16" spans="1:8" ht="156.75" x14ac:dyDescent="0.25">
      <c r="A16" s="273" t="s">
        <v>174</v>
      </c>
      <c r="B16" s="135" t="s">
        <v>38</v>
      </c>
      <c r="C16" s="269" t="s">
        <v>0</v>
      </c>
      <c r="D16" s="269"/>
      <c r="E16" s="150">
        <v>189.63</v>
      </c>
      <c r="F16" s="151">
        <v>0</v>
      </c>
      <c r="G16" s="123">
        <f t="shared" ref="G16:G29" si="2">SUM(F16*E16)</f>
        <v>0</v>
      </c>
    </row>
    <row r="17" spans="1:7" ht="96.75" x14ac:dyDescent="0.25">
      <c r="A17" s="273" t="s">
        <v>175</v>
      </c>
      <c r="B17" s="135" t="s">
        <v>40</v>
      </c>
      <c r="C17" s="269"/>
      <c r="D17" s="269"/>
      <c r="E17" s="150"/>
      <c r="F17" s="151"/>
      <c r="G17" s="123"/>
    </row>
    <row r="18" spans="1:7" x14ac:dyDescent="0.25">
      <c r="A18" s="273" t="s">
        <v>416</v>
      </c>
      <c r="B18" s="135" t="s">
        <v>451</v>
      </c>
      <c r="C18" s="269" t="s">
        <v>3</v>
      </c>
      <c r="D18" s="269"/>
      <c r="E18" s="150">
        <v>1</v>
      </c>
      <c r="F18" s="151">
        <v>0</v>
      </c>
      <c r="G18" s="123">
        <f t="shared" si="2"/>
        <v>0</v>
      </c>
    </row>
    <row r="19" spans="1:7" x14ac:dyDescent="0.25">
      <c r="A19" s="273" t="s">
        <v>417</v>
      </c>
      <c r="B19" s="135" t="s">
        <v>452</v>
      </c>
      <c r="C19" s="269" t="s">
        <v>3</v>
      </c>
      <c r="D19" s="269"/>
      <c r="E19" s="150">
        <v>10</v>
      </c>
      <c r="F19" s="151">
        <v>0</v>
      </c>
      <c r="G19" s="123">
        <f t="shared" si="2"/>
        <v>0</v>
      </c>
    </row>
    <row r="20" spans="1:7" x14ac:dyDescent="0.25">
      <c r="A20" s="273" t="s">
        <v>418</v>
      </c>
      <c r="B20" s="135" t="s">
        <v>453</v>
      </c>
      <c r="C20" s="269" t="s">
        <v>3</v>
      </c>
      <c r="D20" s="270"/>
      <c r="E20" s="150">
        <v>5</v>
      </c>
      <c r="F20" s="151">
        <v>0</v>
      </c>
      <c r="G20" s="123">
        <f t="shared" si="2"/>
        <v>0</v>
      </c>
    </row>
    <row r="21" spans="1:7" ht="96.75" x14ac:dyDescent="0.25">
      <c r="A21" s="273" t="s">
        <v>176</v>
      </c>
      <c r="B21" s="139" t="s">
        <v>39</v>
      </c>
      <c r="C21" s="269" t="s">
        <v>3</v>
      </c>
      <c r="D21" s="270"/>
      <c r="E21" s="150">
        <v>1</v>
      </c>
      <c r="F21" s="151">
        <v>0</v>
      </c>
      <c r="G21" s="123">
        <f t="shared" si="2"/>
        <v>0</v>
      </c>
    </row>
    <row r="22" spans="1:7" ht="84.75" x14ac:dyDescent="0.25">
      <c r="A22" s="273" t="s">
        <v>177</v>
      </c>
      <c r="B22" s="139" t="s">
        <v>47</v>
      </c>
      <c r="C22" s="269" t="s">
        <v>0</v>
      </c>
      <c r="D22" s="270"/>
      <c r="E22" s="150">
        <f>E23</f>
        <v>64.8</v>
      </c>
      <c r="F22" s="151">
        <v>0</v>
      </c>
      <c r="G22" s="123">
        <f t="shared" ref="G22" si="3">SUM(F22*E22)</f>
        <v>0</v>
      </c>
    </row>
    <row r="23" spans="1:7" ht="84.75" x14ac:dyDescent="0.25">
      <c r="A23" s="273" t="s">
        <v>178</v>
      </c>
      <c r="B23" s="139" t="s">
        <v>45</v>
      </c>
      <c r="C23" s="269" t="s">
        <v>0</v>
      </c>
      <c r="D23" s="270"/>
      <c r="E23" s="150">
        <v>64.8</v>
      </c>
      <c r="F23" s="151">
        <v>0</v>
      </c>
      <c r="G23" s="123">
        <f t="shared" si="2"/>
        <v>0</v>
      </c>
    </row>
    <row r="24" spans="1:7" ht="84.75" x14ac:dyDescent="0.25">
      <c r="A24" s="273" t="s">
        <v>179</v>
      </c>
      <c r="B24" s="135" t="s">
        <v>42</v>
      </c>
      <c r="C24" s="269" t="s">
        <v>0</v>
      </c>
      <c r="D24" s="270"/>
      <c r="E24" s="150">
        <v>523.26</v>
      </c>
      <c r="F24" s="151">
        <v>0</v>
      </c>
      <c r="G24" s="123">
        <f t="shared" si="2"/>
        <v>0</v>
      </c>
    </row>
    <row r="25" spans="1:7" ht="84.75" x14ac:dyDescent="0.25">
      <c r="A25" s="273" t="s">
        <v>180</v>
      </c>
      <c r="B25" s="143" t="s">
        <v>107</v>
      </c>
      <c r="C25" s="269" t="s">
        <v>0</v>
      </c>
      <c r="D25" s="270"/>
      <c r="E25" s="150">
        <f>$C$3*0.95</f>
        <v>355.34749999999997</v>
      </c>
      <c r="F25" s="151">
        <v>0</v>
      </c>
      <c r="G25" s="123">
        <f>SUM(F25*E25)</f>
        <v>0</v>
      </c>
    </row>
    <row r="26" spans="1:7" ht="96.75" x14ac:dyDescent="0.25">
      <c r="A26" s="273" t="s">
        <v>181</v>
      </c>
      <c r="B26" s="135" t="s">
        <v>44</v>
      </c>
      <c r="C26" s="269" t="s">
        <v>0</v>
      </c>
      <c r="D26" s="269"/>
      <c r="E26" s="150">
        <v>300.95999999999998</v>
      </c>
      <c r="F26" s="151">
        <v>0</v>
      </c>
      <c r="G26" s="123">
        <f>SUM(F26*E26)</f>
        <v>0</v>
      </c>
    </row>
    <row r="27" spans="1:7" ht="72.75" x14ac:dyDescent="0.25">
      <c r="A27" s="273" t="s">
        <v>182</v>
      </c>
      <c r="B27" s="135" t="s">
        <v>43</v>
      </c>
      <c r="C27" s="269" t="s">
        <v>0</v>
      </c>
      <c r="D27" s="270"/>
      <c r="E27" s="150">
        <v>300.95999999999998</v>
      </c>
      <c r="F27" s="151">
        <v>0</v>
      </c>
      <c r="G27" s="123">
        <f>SUM(F27*E27)</f>
        <v>0</v>
      </c>
    </row>
    <row r="28" spans="1:7" ht="72.75" x14ac:dyDescent="0.25">
      <c r="A28" s="273" t="s">
        <v>183</v>
      </c>
      <c r="B28" s="135" t="s">
        <v>41</v>
      </c>
      <c r="C28" s="269" t="s">
        <v>0</v>
      </c>
      <c r="D28" s="270"/>
      <c r="E28" s="150">
        <v>31.5</v>
      </c>
      <c r="F28" s="151">
        <v>0</v>
      </c>
      <c r="G28" s="123">
        <f>SUM(F28*E28)</f>
        <v>0</v>
      </c>
    </row>
    <row r="29" spans="1:7" ht="60.75" x14ac:dyDescent="0.25">
      <c r="A29" s="273" t="s">
        <v>184</v>
      </c>
      <c r="B29" s="135" t="s">
        <v>37</v>
      </c>
      <c r="C29" s="269" t="s">
        <v>0</v>
      </c>
      <c r="D29" s="269"/>
      <c r="E29" s="150">
        <v>17.446000000000002</v>
      </c>
      <c r="F29" s="151">
        <v>0</v>
      </c>
      <c r="G29" s="123">
        <f t="shared" si="2"/>
        <v>0</v>
      </c>
    </row>
    <row r="30" spans="1:7" ht="120.75" x14ac:dyDescent="0.25">
      <c r="A30" s="273" t="s">
        <v>185</v>
      </c>
      <c r="B30" s="135" t="s">
        <v>35</v>
      </c>
      <c r="C30" s="269" t="s">
        <v>0</v>
      </c>
      <c r="D30" s="270"/>
      <c r="E30" s="150">
        <v>345.4</v>
      </c>
      <c r="F30" s="151">
        <v>0</v>
      </c>
      <c r="G30" s="123">
        <f>SUM(F30*E30)</f>
        <v>0</v>
      </c>
    </row>
    <row r="31" spans="1:7" ht="97.5" thickBot="1" x14ac:dyDescent="0.3">
      <c r="A31" s="273" t="s">
        <v>186</v>
      </c>
      <c r="B31" s="142" t="s">
        <v>36</v>
      </c>
      <c r="C31" s="288" t="s">
        <v>0</v>
      </c>
      <c r="D31" s="289"/>
      <c r="E31" s="196">
        <f>E30*1.04</f>
        <v>359.21600000000001</v>
      </c>
      <c r="F31" s="197">
        <v>0</v>
      </c>
      <c r="G31" s="198">
        <f>SUM(F31*E31)</f>
        <v>0</v>
      </c>
    </row>
    <row r="32" spans="1:7" s="8" customFormat="1" ht="181.5" thickTop="1" x14ac:dyDescent="0.25">
      <c r="A32" s="257" t="s">
        <v>187</v>
      </c>
      <c r="B32" s="258" t="s">
        <v>610</v>
      </c>
      <c r="C32" s="249" t="s">
        <v>80</v>
      </c>
      <c r="D32" s="249"/>
      <c r="E32" s="215">
        <v>1</v>
      </c>
      <c r="F32" s="216">
        <v>0</v>
      </c>
      <c r="G32" s="217">
        <f t="shared" ref="G32" si="4">SUM(F32*E32)</f>
        <v>0</v>
      </c>
    </row>
    <row r="33" spans="1:20" s="8" customFormat="1" ht="51" x14ac:dyDescent="0.25">
      <c r="A33" s="259"/>
      <c r="B33" s="139" t="s">
        <v>510</v>
      </c>
      <c r="C33" s="260" t="s">
        <v>95</v>
      </c>
      <c r="D33" s="260"/>
      <c r="E33" s="261">
        <v>9</v>
      </c>
      <c r="F33" s="262">
        <v>0</v>
      </c>
      <c r="G33" s="263"/>
      <c r="I33" s="222"/>
      <c r="J33" s="222"/>
      <c r="K33" s="222"/>
      <c r="L33" s="222"/>
      <c r="M33" s="222"/>
      <c r="N33" s="222"/>
      <c r="O33" s="222"/>
      <c r="P33" s="222"/>
      <c r="Q33" s="222"/>
      <c r="R33" s="222"/>
      <c r="S33" s="7"/>
      <c r="T33" s="7"/>
    </row>
    <row r="34" spans="1:20" s="8" customFormat="1" ht="114.75" x14ac:dyDescent="0.25">
      <c r="A34" s="259"/>
      <c r="B34" s="140" t="s">
        <v>503</v>
      </c>
      <c r="C34" s="260" t="s">
        <v>95</v>
      </c>
      <c r="D34" s="260"/>
      <c r="E34" s="261">
        <v>40</v>
      </c>
      <c r="F34" s="262">
        <v>0</v>
      </c>
      <c r="G34" s="263"/>
      <c r="I34" s="222"/>
      <c r="J34" s="222"/>
      <c r="K34" s="222"/>
      <c r="L34" s="222"/>
      <c r="M34" s="222"/>
      <c r="N34" s="222"/>
      <c r="O34" s="222"/>
      <c r="P34" s="222"/>
      <c r="Q34" s="222"/>
      <c r="R34" s="222"/>
      <c r="S34" s="7"/>
      <c r="T34" s="7"/>
    </row>
    <row r="35" spans="1:20" s="8" customFormat="1" ht="114.75" x14ac:dyDescent="0.25">
      <c r="A35" s="259"/>
      <c r="B35" s="140" t="s">
        <v>504</v>
      </c>
      <c r="C35" s="260" t="s">
        <v>95</v>
      </c>
      <c r="D35" s="260"/>
      <c r="E35" s="261">
        <v>11</v>
      </c>
      <c r="F35" s="262">
        <v>0</v>
      </c>
      <c r="G35" s="263"/>
      <c r="I35" s="222"/>
      <c r="J35" s="222"/>
      <c r="K35" s="222"/>
      <c r="L35" s="222"/>
      <c r="M35" s="222"/>
      <c r="N35" s="222"/>
      <c r="O35" s="222"/>
      <c r="P35" s="222"/>
      <c r="Q35" s="222"/>
      <c r="R35" s="222"/>
      <c r="S35" s="7"/>
      <c r="T35" s="7"/>
    </row>
    <row r="36" spans="1:20" s="8" customFormat="1" ht="51" x14ac:dyDescent="0.25">
      <c r="A36" s="259"/>
      <c r="B36" s="139" t="s">
        <v>511</v>
      </c>
      <c r="C36" s="260" t="s">
        <v>95</v>
      </c>
      <c r="D36" s="260"/>
      <c r="E36" s="261">
        <v>15</v>
      </c>
      <c r="F36" s="262">
        <v>0</v>
      </c>
      <c r="G36" s="263"/>
      <c r="I36" s="222"/>
      <c r="J36" s="222"/>
      <c r="K36" s="222"/>
      <c r="L36" s="222"/>
      <c r="M36" s="222"/>
      <c r="N36" s="222"/>
      <c r="O36" s="222"/>
      <c r="P36" s="222"/>
      <c r="Q36" s="222"/>
      <c r="R36" s="222"/>
      <c r="S36" s="7"/>
      <c r="T36" s="7"/>
    </row>
    <row r="37" spans="1:20" s="8" customFormat="1" ht="51" x14ac:dyDescent="0.25">
      <c r="A37" s="259"/>
      <c r="B37" s="139" t="s">
        <v>512</v>
      </c>
      <c r="C37" s="260" t="s">
        <v>95</v>
      </c>
      <c r="D37" s="260"/>
      <c r="E37" s="261">
        <v>5</v>
      </c>
      <c r="F37" s="262">
        <v>0</v>
      </c>
      <c r="G37" s="263"/>
      <c r="I37" s="222"/>
      <c r="J37" s="222"/>
      <c r="K37" s="222"/>
      <c r="L37" s="222"/>
      <c r="M37" s="222"/>
      <c r="N37" s="222"/>
      <c r="O37" s="222"/>
      <c r="P37" s="222"/>
      <c r="Q37" s="222"/>
      <c r="R37" s="222"/>
      <c r="S37" s="7"/>
      <c r="T37" s="7"/>
    </row>
    <row r="38" spans="1:20" s="8" customFormat="1" ht="51" x14ac:dyDescent="0.25">
      <c r="A38" s="259"/>
      <c r="B38" s="139" t="s">
        <v>513</v>
      </c>
      <c r="C38" s="260" t="s">
        <v>95</v>
      </c>
      <c r="D38" s="260"/>
      <c r="E38" s="261">
        <v>1</v>
      </c>
      <c r="F38" s="262">
        <v>0</v>
      </c>
      <c r="G38" s="263"/>
      <c r="I38" s="222"/>
      <c r="J38" s="222"/>
      <c r="K38" s="222"/>
      <c r="L38" s="222"/>
      <c r="M38" s="222"/>
      <c r="N38" s="222"/>
      <c r="O38" s="222"/>
      <c r="P38" s="222"/>
      <c r="Q38" s="222"/>
      <c r="R38" s="222"/>
      <c r="S38" s="7"/>
      <c r="T38" s="7"/>
    </row>
    <row r="39" spans="1:20" s="8" customFormat="1" ht="51" x14ac:dyDescent="0.25">
      <c r="A39" s="259"/>
      <c r="B39" s="139" t="s">
        <v>514</v>
      </c>
      <c r="C39" s="260" t="s">
        <v>95</v>
      </c>
      <c r="D39" s="260"/>
      <c r="E39" s="261">
        <v>0</v>
      </c>
      <c r="F39" s="262">
        <v>0</v>
      </c>
      <c r="G39" s="263"/>
      <c r="I39" s="222"/>
      <c r="J39" s="222"/>
      <c r="K39" s="222"/>
      <c r="L39" s="222"/>
      <c r="M39" s="222"/>
      <c r="N39" s="222"/>
      <c r="O39" s="222"/>
      <c r="P39" s="222"/>
      <c r="Q39" s="222"/>
      <c r="R39" s="222"/>
      <c r="S39" s="7"/>
      <c r="T39" s="7"/>
    </row>
    <row r="40" spans="1:20" s="8" customFormat="1" ht="25.5" x14ac:dyDescent="0.25">
      <c r="A40" s="259"/>
      <c r="B40" s="140" t="s">
        <v>505</v>
      </c>
      <c r="C40" s="260" t="s">
        <v>95</v>
      </c>
      <c r="D40" s="260"/>
      <c r="E40" s="261">
        <v>8</v>
      </c>
      <c r="F40" s="262">
        <v>0</v>
      </c>
      <c r="G40" s="263"/>
      <c r="I40" s="222"/>
      <c r="J40" s="222"/>
      <c r="K40" s="222"/>
      <c r="L40" s="222"/>
      <c r="M40" s="222"/>
      <c r="N40" s="222"/>
      <c r="O40" s="222"/>
      <c r="P40" s="222"/>
      <c r="Q40" s="222"/>
      <c r="R40" s="222"/>
      <c r="S40" s="7"/>
      <c r="T40" s="7"/>
    </row>
    <row r="41" spans="1:20" s="8" customFormat="1" ht="25.5" x14ac:dyDescent="0.25">
      <c r="A41" s="259"/>
      <c r="B41" s="140" t="s">
        <v>545</v>
      </c>
      <c r="C41" s="260" t="s">
        <v>95</v>
      </c>
      <c r="D41" s="260"/>
      <c r="E41" s="261">
        <v>11</v>
      </c>
      <c r="F41" s="262">
        <v>0</v>
      </c>
      <c r="G41" s="263"/>
      <c r="I41" s="222"/>
      <c r="J41" s="222"/>
      <c r="K41" s="222"/>
      <c r="L41" s="222"/>
      <c r="M41" s="222"/>
      <c r="N41" s="222"/>
      <c r="O41" s="222"/>
      <c r="P41" s="222"/>
      <c r="Q41" s="222"/>
      <c r="R41" s="222"/>
      <c r="S41" s="7"/>
      <c r="T41" s="7"/>
    </row>
    <row r="42" spans="1:20" s="8" customFormat="1" ht="25.5" x14ac:dyDescent="0.25">
      <c r="A42" s="259"/>
      <c r="B42" s="140" t="s">
        <v>507</v>
      </c>
      <c r="C42" s="260" t="s">
        <v>95</v>
      </c>
      <c r="D42" s="260"/>
      <c r="E42" s="261">
        <v>3</v>
      </c>
      <c r="F42" s="262">
        <v>0</v>
      </c>
      <c r="G42" s="263"/>
      <c r="I42" s="222"/>
      <c r="J42" s="222"/>
      <c r="K42" s="222"/>
      <c r="L42" s="222"/>
      <c r="M42" s="222"/>
      <c r="N42" s="222"/>
      <c r="O42" s="222"/>
      <c r="P42" s="222"/>
      <c r="Q42" s="222"/>
      <c r="R42" s="222"/>
      <c r="S42" s="7"/>
      <c r="T42" s="7"/>
    </row>
    <row r="43" spans="1:20" s="8" customFormat="1" ht="25.5" x14ac:dyDescent="0.25">
      <c r="A43" s="259"/>
      <c r="B43" s="140" t="s">
        <v>509</v>
      </c>
      <c r="C43" s="260" t="s">
        <v>95</v>
      </c>
      <c r="D43" s="260"/>
      <c r="E43" s="261">
        <v>10</v>
      </c>
      <c r="F43" s="262">
        <v>0</v>
      </c>
      <c r="G43" s="263"/>
      <c r="I43" s="222"/>
      <c r="J43" s="222"/>
      <c r="K43" s="222"/>
      <c r="L43" s="222"/>
      <c r="M43" s="222"/>
      <c r="N43" s="222"/>
      <c r="O43" s="222"/>
      <c r="P43" s="222"/>
      <c r="Q43" s="222"/>
      <c r="R43" s="222"/>
      <c r="S43" s="7"/>
      <c r="T43" s="7"/>
    </row>
    <row r="44" spans="1:20" s="8" customFormat="1" ht="25.5" x14ac:dyDescent="0.25">
      <c r="A44" s="259"/>
      <c r="B44" s="140" t="s">
        <v>508</v>
      </c>
      <c r="C44" s="260" t="s">
        <v>95</v>
      </c>
      <c r="D44" s="260"/>
      <c r="E44" s="261">
        <v>0</v>
      </c>
      <c r="F44" s="262">
        <v>0</v>
      </c>
      <c r="G44" s="263"/>
      <c r="I44" s="222"/>
      <c r="J44" s="222"/>
      <c r="K44" s="222"/>
      <c r="L44" s="222"/>
      <c r="M44" s="222"/>
      <c r="N44" s="222"/>
      <c r="O44" s="222"/>
      <c r="P44" s="222"/>
      <c r="Q44" s="222"/>
      <c r="R44" s="222"/>
      <c r="S44" s="7"/>
      <c r="T44" s="7"/>
    </row>
    <row r="45" spans="1:20" s="7" customFormat="1" ht="51" x14ac:dyDescent="0.25">
      <c r="A45" s="259"/>
      <c r="B45" s="140" t="s">
        <v>539</v>
      </c>
      <c r="C45" s="260" t="s">
        <v>80</v>
      </c>
      <c r="D45" s="260"/>
      <c r="E45" s="261">
        <v>1</v>
      </c>
      <c r="F45" s="262">
        <v>0</v>
      </c>
      <c r="G45" s="263"/>
      <c r="I45" s="222"/>
      <c r="J45" s="222"/>
      <c r="K45" s="222"/>
      <c r="L45" s="222"/>
      <c r="M45" s="222"/>
      <c r="N45" s="222"/>
      <c r="O45" s="222"/>
      <c r="P45" s="222"/>
      <c r="Q45" s="222"/>
      <c r="R45" s="222"/>
    </row>
    <row r="46" spans="1:20" s="7" customFormat="1" ht="76.5" x14ac:dyDescent="0.25">
      <c r="A46" s="259"/>
      <c r="B46" s="140" t="s">
        <v>542</v>
      </c>
      <c r="C46" s="260" t="s">
        <v>80</v>
      </c>
      <c r="D46" s="260"/>
      <c r="E46" s="261">
        <v>1</v>
      </c>
      <c r="F46" s="262">
        <v>0</v>
      </c>
      <c r="G46" s="263"/>
      <c r="I46" s="222"/>
      <c r="J46" s="222"/>
      <c r="K46" s="222"/>
      <c r="L46" s="222"/>
      <c r="M46" s="222"/>
      <c r="N46" s="222"/>
      <c r="O46" s="222"/>
      <c r="P46" s="222"/>
      <c r="Q46" s="222"/>
      <c r="R46" s="222"/>
    </row>
    <row r="47" spans="1:20" s="7" customFormat="1" ht="63.75" x14ac:dyDescent="0.25">
      <c r="A47" s="259"/>
      <c r="B47" s="139" t="s">
        <v>541</v>
      </c>
      <c r="C47" s="260" t="s">
        <v>95</v>
      </c>
      <c r="D47" s="260"/>
      <c r="E47" s="261">
        <v>1</v>
      </c>
      <c r="F47" s="262">
        <v>0</v>
      </c>
      <c r="G47" s="263"/>
      <c r="I47" s="222"/>
      <c r="J47" s="222"/>
      <c r="K47" s="222"/>
      <c r="L47" s="222"/>
      <c r="M47" s="222"/>
      <c r="N47" s="222"/>
      <c r="O47" s="222"/>
      <c r="P47" s="222"/>
      <c r="Q47" s="222"/>
      <c r="R47" s="222"/>
    </row>
    <row r="48" spans="1:20" s="7" customFormat="1" ht="16.5" x14ac:dyDescent="0.25">
      <c r="A48" s="259"/>
      <c r="B48" s="140" t="s">
        <v>506</v>
      </c>
      <c r="C48" s="260" t="s">
        <v>80</v>
      </c>
      <c r="D48" s="260"/>
      <c r="E48" s="261">
        <v>1</v>
      </c>
      <c r="F48" s="262">
        <v>0</v>
      </c>
      <c r="G48" s="263"/>
      <c r="I48" s="222"/>
      <c r="J48" s="222"/>
      <c r="K48" s="222"/>
      <c r="L48" s="222"/>
      <c r="M48" s="222"/>
      <c r="N48" s="222"/>
      <c r="O48" s="222"/>
      <c r="P48" s="222"/>
      <c r="Q48" s="222"/>
      <c r="R48" s="222"/>
    </row>
    <row r="49" spans="1:20" s="7" customFormat="1" ht="64.5" thickBot="1" x14ac:dyDescent="0.3">
      <c r="A49" s="259"/>
      <c r="B49" s="140" t="s">
        <v>515</v>
      </c>
      <c r="C49" s="260" t="s">
        <v>80</v>
      </c>
      <c r="D49" s="260"/>
      <c r="E49" s="261">
        <v>1</v>
      </c>
      <c r="F49" s="262">
        <v>0</v>
      </c>
      <c r="G49" s="263"/>
      <c r="I49" s="222"/>
      <c r="J49" s="222"/>
      <c r="K49" s="222"/>
      <c r="L49" s="222"/>
      <c r="M49" s="222"/>
      <c r="N49" s="222"/>
      <c r="O49" s="222"/>
      <c r="P49" s="222"/>
      <c r="Q49" s="222"/>
      <c r="R49" s="222"/>
    </row>
    <row r="50" spans="1:20" s="146" customFormat="1" ht="301.5" thickTop="1" x14ac:dyDescent="0.25">
      <c r="A50" s="267" t="s">
        <v>188</v>
      </c>
      <c r="B50" s="258" t="s">
        <v>611</v>
      </c>
      <c r="C50" s="249" t="s">
        <v>80</v>
      </c>
      <c r="D50" s="249"/>
      <c r="E50" s="215">
        <v>1</v>
      </c>
      <c r="F50" s="216">
        <v>0</v>
      </c>
      <c r="G50" s="217">
        <f>SUM(F50*E50)</f>
        <v>0</v>
      </c>
    </row>
    <row r="51" spans="1:20" s="7" customFormat="1" ht="16.5" x14ac:dyDescent="0.25">
      <c r="A51" s="259"/>
      <c r="B51" s="226" t="s">
        <v>531</v>
      </c>
      <c r="C51" s="260"/>
      <c r="D51" s="260"/>
      <c r="E51" s="261"/>
      <c r="F51" s="262"/>
      <c r="G51" s="263"/>
    </row>
    <row r="52" spans="1:20" s="8" customFormat="1" ht="63.75" x14ac:dyDescent="0.25">
      <c r="A52" s="259"/>
      <c r="B52" s="139" t="s">
        <v>530</v>
      </c>
      <c r="C52" s="260" t="s">
        <v>516</v>
      </c>
      <c r="D52" s="260"/>
      <c r="E52" s="261">
        <v>45</v>
      </c>
      <c r="F52" s="262">
        <v>0</v>
      </c>
      <c r="G52" s="263">
        <f t="shared" ref="G52:G54" si="5">E52*F52</f>
        <v>0</v>
      </c>
      <c r="I52" s="7"/>
      <c r="J52" s="7"/>
      <c r="K52" s="7"/>
      <c r="L52" s="7"/>
      <c r="M52" s="7"/>
      <c r="N52" s="7"/>
      <c r="O52" s="7"/>
      <c r="P52" s="7"/>
      <c r="Q52" s="7"/>
      <c r="R52" s="7"/>
      <c r="S52" s="7"/>
      <c r="T52" s="7"/>
    </row>
    <row r="53" spans="1:20" s="8" customFormat="1" ht="38.25" x14ac:dyDescent="0.25">
      <c r="A53" s="259"/>
      <c r="B53" s="139" t="s">
        <v>527</v>
      </c>
      <c r="C53" s="260" t="s">
        <v>80</v>
      </c>
      <c r="D53" s="260"/>
      <c r="E53" s="261">
        <v>1</v>
      </c>
      <c r="F53" s="262">
        <v>0</v>
      </c>
      <c r="G53" s="263">
        <f t="shared" si="5"/>
        <v>0</v>
      </c>
      <c r="I53" s="7"/>
      <c r="J53" s="7"/>
      <c r="K53" s="7"/>
      <c r="L53" s="7"/>
      <c r="M53" s="7"/>
      <c r="N53" s="7"/>
      <c r="O53" s="7"/>
      <c r="P53" s="7"/>
      <c r="Q53" s="7"/>
      <c r="R53" s="7"/>
      <c r="S53" s="7"/>
      <c r="T53" s="7"/>
    </row>
    <row r="54" spans="1:20" s="8" customFormat="1" ht="16.5" x14ac:dyDescent="0.25">
      <c r="A54" s="259"/>
      <c r="B54" s="140" t="s">
        <v>526</v>
      </c>
      <c r="C54" s="260" t="s">
        <v>80</v>
      </c>
      <c r="D54" s="260"/>
      <c r="E54" s="261">
        <v>1</v>
      </c>
      <c r="F54" s="262">
        <v>0</v>
      </c>
      <c r="G54" s="263">
        <f t="shared" si="5"/>
        <v>0</v>
      </c>
      <c r="I54" s="7"/>
      <c r="J54" s="7"/>
      <c r="K54" s="7"/>
      <c r="L54" s="7"/>
      <c r="M54" s="7"/>
      <c r="N54" s="7"/>
      <c r="O54" s="7"/>
      <c r="P54" s="7"/>
      <c r="Q54" s="7"/>
      <c r="R54" s="7"/>
      <c r="S54" s="7"/>
      <c r="T54" s="7"/>
    </row>
    <row r="55" spans="1:20" s="7" customFormat="1" ht="16.5" x14ac:dyDescent="0.25">
      <c r="A55" s="259"/>
      <c r="B55" s="226" t="s">
        <v>517</v>
      </c>
      <c r="C55" s="260"/>
      <c r="D55" s="260"/>
      <c r="E55" s="261"/>
      <c r="F55" s="262"/>
      <c r="G55" s="263"/>
    </row>
    <row r="56" spans="1:20" s="7" customFormat="1" ht="25.5" x14ac:dyDescent="0.25">
      <c r="A56" s="259"/>
      <c r="B56" s="140" t="s">
        <v>528</v>
      </c>
      <c r="C56" s="260" t="s">
        <v>95</v>
      </c>
      <c r="D56" s="260"/>
      <c r="E56" s="261">
        <v>3</v>
      </c>
      <c r="F56" s="262">
        <v>0</v>
      </c>
      <c r="G56" s="263">
        <f t="shared" ref="G56:G60" si="6">E56*F56</f>
        <v>0</v>
      </c>
    </row>
    <row r="57" spans="1:20" s="8" customFormat="1" ht="25.5" x14ac:dyDescent="0.25">
      <c r="A57" s="268"/>
      <c r="B57" s="139" t="s">
        <v>529</v>
      </c>
      <c r="C57" s="260" t="s">
        <v>95</v>
      </c>
      <c r="D57" s="260"/>
      <c r="E57" s="261">
        <v>3</v>
      </c>
      <c r="F57" s="262">
        <v>0</v>
      </c>
      <c r="G57" s="263">
        <f t="shared" si="6"/>
        <v>0</v>
      </c>
    </row>
    <row r="58" spans="1:20" s="8" customFormat="1" ht="38.25" x14ac:dyDescent="0.25">
      <c r="A58" s="268"/>
      <c r="B58" s="139" t="s">
        <v>524</v>
      </c>
      <c r="C58" s="260" t="s">
        <v>95</v>
      </c>
      <c r="D58" s="260"/>
      <c r="E58" s="261">
        <v>3</v>
      </c>
      <c r="F58" s="262">
        <v>0</v>
      </c>
      <c r="G58" s="263">
        <f t="shared" si="6"/>
        <v>0</v>
      </c>
    </row>
    <row r="59" spans="1:20" s="8" customFormat="1" ht="25.5" x14ac:dyDescent="0.25">
      <c r="A59" s="268"/>
      <c r="B59" s="139" t="s">
        <v>521</v>
      </c>
      <c r="C59" s="260" t="s">
        <v>95</v>
      </c>
      <c r="D59" s="260"/>
      <c r="E59" s="261">
        <v>3</v>
      </c>
      <c r="F59" s="262">
        <v>0</v>
      </c>
      <c r="G59" s="263">
        <f t="shared" si="6"/>
        <v>0</v>
      </c>
    </row>
    <row r="60" spans="1:20" s="8" customFormat="1" ht="76.5" x14ac:dyDescent="0.25">
      <c r="A60" s="268"/>
      <c r="B60" s="139" t="s">
        <v>538</v>
      </c>
      <c r="C60" s="260" t="s">
        <v>95</v>
      </c>
      <c r="D60" s="260"/>
      <c r="E60" s="261">
        <v>3</v>
      </c>
      <c r="F60" s="262">
        <v>0</v>
      </c>
      <c r="G60" s="263">
        <f t="shared" si="6"/>
        <v>0</v>
      </c>
    </row>
    <row r="61" spans="1:20" s="8" customFormat="1" ht="16.5" x14ac:dyDescent="0.25">
      <c r="A61" s="268"/>
      <c r="B61" s="226" t="s">
        <v>518</v>
      </c>
      <c r="C61" s="260"/>
      <c r="D61" s="260"/>
      <c r="E61" s="261"/>
      <c r="F61" s="262"/>
      <c r="G61" s="263"/>
    </row>
    <row r="62" spans="1:20" s="8" customFormat="1" ht="51" x14ac:dyDescent="0.25">
      <c r="A62" s="268"/>
      <c r="B62" s="139" t="s">
        <v>532</v>
      </c>
      <c r="C62" s="260" t="s">
        <v>516</v>
      </c>
      <c r="D62" s="260"/>
      <c r="E62" s="261">
        <v>10</v>
      </c>
      <c r="F62" s="262">
        <v>0</v>
      </c>
      <c r="G62" s="263">
        <f t="shared" ref="G62:G66" si="7">E62*F62</f>
        <v>0</v>
      </c>
    </row>
    <row r="63" spans="1:20" s="8" customFormat="1" ht="51" x14ac:dyDescent="0.25">
      <c r="A63" s="268"/>
      <c r="B63" s="139" t="s">
        <v>533</v>
      </c>
      <c r="C63" s="260" t="s">
        <v>516</v>
      </c>
      <c r="D63" s="260"/>
      <c r="E63" s="261">
        <v>30</v>
      </c>
      <c r="F63" s="262">
        <v>0</v>
      </c>
      <c r="G63" s="263">
        <f t="shared" si="7"/>
        <v>0</v>
      </c>
    </row>
    <row r="64" spans="1:20" s="8" customFormat="1" ht="51" x14ac:dyDescent="0.25">
      <c r="A64" s="268"/>
      <c r="B64" s="139" t="s">
        <v>534</v>
      </c>
      <c r="C64" s="260" t="s">
        <v>516</v>
      </c>
      <c r="D64" s="260"/>
      <c r="E64" s="261">
        <v>10</v>
      </c>
      <c r="F64" s="262">
        <v>0</v>
      </c>
      <c r="G64" s="263">
        <f t="shared" si="7"/>
        <v>0</v>
      </c>
    </row>
    <row r="65" spans="1:18" s="8" customFormat="1" ht="38.25" x14ac:dyDescent="0.25">
      <c r="A65" s="268"/>
      <c r="B65" s="139" t="s">
        <v>527</v>
      </c>
      <c r="C65" s="260" t="s">
        <v>80</v>
      </c>
      <c r="D65" s="260"/>
      <c r="E65" s="261">
        <v>1</v>
      </c>
      <c r="F65" s="262">
        <v>0</v>
      </c>
      <c r="G65" s="263">
        <f t="shared" si="7"/>
        <v>0</v>
      </c>
    </row>
    <row r="66" spans="1:18" s="8" customFormat="1" ht="16.5" x14ac:dyDescent="0.25">
      <c r="A66" s="268"/>
      <c r="B66" s="140" t="s">
        <v>526</v>
      </c>
      <c r="C66" s="260" t="s">
        <v>80</v>
      </c>
      <c r="D66" s="260"/>
      <c r="E66" s="261">
        <v>1</v>
      </c>
      <c r="F66" s="262">
        <v>0</v>
      </c>
      <c r="G66" s="263">
        <f t="shared" si="7"/>
        <v>0</v>
      </c>
    </row>
    <row r="67" spans="1:18" s="8" customFormat="1" ht="16.5" x14ac:dyDescent="0.25">
      <c r="A67" s="268"/>
      <c r="B67" s="226" t="s">
        <v>519</v>
      </c>
      <c r="C67" s="260"/>
      <c r="D67" s="260"/>
      <c r="E67" s="261"/>
      <c r="F67" s="262"/>
      <c r="G67" s="263"/>
    </row>
    <row r="68" spans="1:18" s="8" customFormat="1" ht="38.25" x14ac:dyDescent="0.25">
      <c r="A68" s="268"/>
      <c r="B68" s="139" t="s">
        <v>540</v>
      </c>
      <c r="C68" s="260" t="s">
        <v>516</v>
      </c>
      <c r="D68" s="260"/>
      <c r="E68" s="261">
        <f>12*3+19*2+10.5*2</f>
        <v>95</v>
      </c>
      <c r="F68" s="262">
        <v>0</v>
      </c>
      <c r="G68" s="263">
        <f t="shared" ref="G68:G72" si="8">E68*F68</f>
        <v>0</v>
      </c>
    </row>
    <row r="69" spans="1:18" s="8" customFormat="1" ht="38.25" x14ac:dyDescent="0.25">
      <c r="A69" s="268"/>
      <c r="B69" s="139" t="s">
        <v>527</v>
      </c>
      <c r="C69" s="260" t="s">
        <v>80</v>
      </c>
      <c r="D69" s="260"/>
      <c r="E69" s="261">
        <v>1</v>
      </c>
      <c r="F69" s="262">
        <v>0</v>
      </c>
      <c r="G69" s="263">
        <f t="shared" si="8"/>
        <v>0</v>
      </c>
    </row>
    <row r="70" spans="1:18" s="8" customFormat="1" ht="16.5" x14ac:dyDescent="0.25">
      <c r="A70" s="268"/>
      <c r="B70" s="139" t="s">
        <v>520</v>
      </c>
      <c r="C70" s="260" t="s">
        <v>95</v>
      </c>
      <c r="D70" s="260"/>
      <c r="E70" s="261">
        <f>12*3</f>
        <v>36</v>
      </c>
      <c r="F70" s="262">
        <v>0</v>
      </c>
      <c r="G70" s="263">
        <f t="shared" si="8"/>
        <v>0</v>
      </c>
    </row>
    <row r="71" spans="1:18" s="8" customFormat="1" ht="16.5" x14ac:dyDescent="0.25">
      <c r="A71" s="268"/>
      <c r="B71" s="139" t="s">
        <v>535</v>
      </c>
      <c r="C71" s="260" t="s">
        <v>95</v>
      </c>
      <c r="D71" s="260"/>
      <c r="E71" s="261">
        <f>19*2+10.5*2</f>
        <v>59</v>
      </c>
      <c r="F71" s="262">
        <v>0</v>
      </c>
      <c r="G71" s="263">
        <f t="shared" si="8"/>
        <v>0</v>
      </c>
    </row>
    <row r="72" spans="1:18" s="8" customFormat="1" ht="17.25" thickBot="1" x14ac:dyDescent="0.3">
      <c r="A72" s="268"/>
      <c r="B72" s="140" t="s">
        <v>526</v>
      </c>
      <c r="C72" s="260" t="s">
        <v>80</v>
      </c>
      <c r="D72" s="260"/>
      <c r="E72" s="261">
        <v>1</v>
      </c>
      <c r="F72" s="262">
        <v>0</v>
      </c>
      <c r="G72" s="263">
        <f t="shared" si="8"/>
        <v>0</v>
      </c>
    </row>
    <row r="73" spans="1:18" s="8" customFormat="1" ht="145.5" thickTop="1" x14ac:dyDescent="0.25">
      <c r="A73" s="257" t="s">
        <v>462</v>
      </c>
      <c r="B73" s="258" t="s">
        <v>612</v>
      </c>
      <c r="C73" s="249" t="s">
        <v>80</v>
      </c>
      <c r="D73" s="249"/>
      <c r="E73" s="215">
        <v>1</v>
      </c>
      <c r="F73" s="216">
        <v>0</v>
      </c>
      <c r="G73" s="217">
        <f>SUM(F73*E73)</f>
        <v>0</v>
      </c>
    </row>
    <row r="74" spans="1:18" s="7" customFormat="1" ht="63.75" x14ac:dyDescent="0.25">
      <c r="A74" s="259"/>
      <c r="B74" s="140" t="s">
        <v>543</v>
      </c>
      <c r="C74" s="260" t="s">
        <v>80</v>
      </c>
      <c r="D74" s="260"/>
      <c r="E74" s="261">
        <v>1</v>
      </c>
      <c r="F74" s="262">
        <v>0</v>
      </c>
      <c r="G74" s="263">
        <f t="shared" ref="G74:G78" si="9">E74*F74</f>
        <v>0</v>
      </c>
      <c r="I74" s="222"/>
      <c r="J74" s="222"/>
      <c r="K74" s="222"/>
      <c r="L74" s="222"/>
      <c r="M74" s="222"/>
      <c r="N74" s="222"/>
      <c r="O74" s="222"/>
      <c r="P74" s="222"/>
      <c r="Q74" s="222"/>
      <c r="R74" s="222"/>
    </row>
    <row r="75" spans="1:18" s="7" customFormat="1" ht="63.75" x14ac:dyDescent="0.25">
      <c r="A75" s="259"/>
      <c r="B75" s="140" t="s">
        <v>544</v>
      </c>
      <c r="C75" s="260" t="s">
        <v>80</v>
      </c>
      <c r="D75" s="260"/>
      <c r="E75" s="261">
        <v>1</v>
      </c>
      <c r="F75" s="262">
        <v>0</v>
      </c>
      <c r="G75" s="263">
        <f t="shared" si="9"/>
        <v>0</v>
      </c>
      <c r="I75" s="222"/>
      <c r="J75" s="222"/>
      <c r="K75" s="222"/>
      <c r="L75" s="222"/>
      <c r="M75" s="222"/>
      <c r="N75" s="222"/>
      <c r="O75" s="222"/>
      <c r="P75" s="222"/>
      <c r="Q75" s="222"/>
      <c r="R75" s="222"/>
    </row>
    <row r="76" spans="1:18" s="146" customFormat="1" ht="38.25" x14ac:dyDescent="0.25">
      <c r="A76" s="257"/>
      <c r="B76" s="274" t="s">
        <v>537</v>
      </c>
      <c r="C76" s="275" t="s">
        <v>95</v>
      </c>
      <c r="D76" s="275"/>
      <c r="E76" s="276">
        <v>1</v>
      </c>
      <c r="F76" s="262">
        <v>0</v>
      </c>
      <c r="G76" s="263">
        <f t="shared" si="9"/>
        <v>0</v>
      </c>
    </row>
    <row r="77" spans="1:18" s="146" customFormat="1" ht="63.75" x14ac:dyDescent="0.25">
      <c r="A77" s="257"/>
      <c r="B77" s="274" t="s">
        <v>553</v>
      </c>
      <c r="C77" s="275" t="s">
        <v>95</v>
      </c>
      <c r="D77" s="275"/>
      <c r="E77" s="276">
        <v>1</v>
      </c>
      <c r="F77" s="262">
        <v>0</v>
      </c>
      <c r="G77" s="263">
        <f t="shared" si="9"/>
        <v>0</v>
      </c>
    </row>
    <row r="78" spans="1:18" s="146" customFormat="1" ht="17.25" thickBot="1" x14ac:dyDescent="0.3">
      <c r="A78" s="257"/>
      <c r="B78" s="277" t="s">
        <v>526</v>
      </c>
      <c r="C78" s="278" t="s">
        <v>80</v>
      </c>
      <c r="D78" s="278"/>
      <c r="E78" s="279">
        <v>1</v>
      </c>
      <c r="F78" s="280">
        <v>0</v>
      </c>
      <c r="G78" s="281">
        <f t="shared" si="9"/>
        <v>0</v>
      </c>
    </row>
    <row r="79" spans="1:18" s="7" customFormat="1" ht="17.25" thickTop="1" x14ac:dyDescent="0.25">
      <c r="A79" s="273" t="s">
        <v>463</v>
      </c>
      <c r="B79" s="227" t="s">
        <v>438</v>
      </c>
      <c r="C79" s="249"/>
      <c r="D79" s="249"/>
      <c r="E79" s="250"/>
      <c r="F79" s="251"/>
      <c r="G79" s="291"/>
    </row>
    <row r="80" spans="1:18" s="7" customFormat="1" ht="16.5" x14ac:dyDescent="0.25">
      <c r="A80" s="189" t="s">
        <v>464</v>
      </c>
      <c r="B80" s="225" t="s">
        <v>14</v>
      </c>
      <c r="C80" s="153" t="s">
        <v>12</v>
      </c>
      <c r="D80" s="153"/>
      <c r="E80" s="154">
        <v>2</v>
      </c>
      <c r="F80" s="155">
        <v>0</v>
      </c>
      <c r="G80" s="156">
        <f>E80*F80</f>
        <v>0</v>
      </c>
    </row>
    <row r="81" spans="1:7" s="7" customFormat="1" ht="17.25" thickBot="1" x14ac:dyDescent="0.3">
      <c r="A81" s="189" t="s">
        <v>465</v>
      </c>
      <c r="B81" s="49" t="s">
        <v>13</v>
      </c>
      <c r="C81" s="157" t="s">
        <v>12</v>
      </c>
      <c r="D81" s="157"/>
      <c r="E81" s="158">
        <v>2</v>
      </c>
      <c r="F81" s="159">
        <v>0</v>
      </c>
      <c r="G81" s="160">
        <f>E81*F81</f>
        <v>0</v>
      </c>
    </row>
    <row r="82" spans="1:7" ht="16.5" thickTop="1" thickBot="1" x14ac:dyDescent="0.3">
      <c r="A82" s="186"/>
      <c r="B82" s="51"/>
      <c r="C82" s="52"/>
      <c r="D82" s="52"/>
      <c r="E82" s="97"/>
      <c r="F82" s="98"/>
      <c r="G82" s="99">
        <f>SUM(G11:G81)</f>
        <v>0</v>
      </c>
    </row>
    <row r="83" spans="1:7" ht="15.75" thickTop="1" x14ac:dyDescent="0.25">
      <c r="F83" s="100"/>
    </row>
    <row r="84" spans="1:7" x14ac:dyDescent="0.25">
      <c r="A84" s="187"/>
      <c r="B84" s="5"/>
    </row>
    <row r="85" spans="1:7" x14ac:dyDescent="0.25">
      <c r="A85" s="187"/>
      <c r="B85" s="3"/>
    </row>
    <row r="86" spans="1:7" x14ac:dyDescent="0.25">
      <c r="A86" s="187"/>
      <c r="B86" s="4"/>
    </row>
    <row r="87" spans="1:7" x14ac:dyDescent="0.25">
      <c r="A87" s="187"/>
      <c r="B87" s="5"/>
    </row>
    <row r="88" spans="1:7" x14ac:dyDescent="0.25">
      <c r="A88" s="187"/>
      <c r="B88" s="6"/>
    </row>
    <row r="89" spans="1:7" x14ac:dyDescent="0.25">
      <c r="A89" s="187"/>
      <c r="B89" s="3"/>
    </row>
    <row r="90" spans="1:7" x14ac:dyDescent="0.25">
      <c r="A90" s="187"/>
      <c r="B90" s="6"/>
    </row>
    <row r="91" spans="1:7" x14ac:dyDescent="0.25">
      <c r="A91" s="187"/>
      <c r="B91" s="3"/>
    </row>
    <row r="92" spans="1:7" x14ac:dyDescent="0.25">
      <c r="A92" s="187"/>
      <c r="B92" s="5"/>
    </row>
    <row r="93" spans="1:7" x14ac:dyDescent="0.25">
      <c r="A93" s="187"/>
      <c r="B93" s="3"/>
    </row>
    <row r="94" spans="1:7" x14ac:dyDescent="0.25">
      <c r="A94" s="187"/>
      <c r="B94" s="3"/>
    </row>
    <row r="95" spans="1:7" x14ac:dyDescent="0.25">
      <c r="A95" s="187"/>
      <c r="B95" s="3"/>
    </row>
    <row r="96" spans="1:7" x14ac:dyDescent="0.25">
      <c r="A96" s="187"/>
      <c r="B96" s="3"/>
    </row>
    <row r="97" spans="1:2" x14ac:dyDescent="0.25">
      <c r="A97" s="187"/>
      <c r="B97" s="23"/>
    </row>
  </sheetData>
  <mergeCells count="2">
    <mergeCell ref="A3:B3"/>
    <mergeCell ref="A1:G1"/>
  </mergeCells>
  <printOptions horizontalCentered="1"/>
  <pageMargins left="0.39370078740157483" right="0.39370078740157483" top="0.39370078740157483" bottom="0.59055118110236227" header="0.31496062992125984" footer="0.31496062992125984"/>
  <pageSetup paperSize="9" orientation="landscape" r:id="rId1"/>
  <headerFooter>
    <oddFooter>&amp;L&amp;8CONCEPTION ET ADAPTATION ARCHITECTURALE-STRUCTURALE DES PLAN TYPES DE CENTRES PUBLICS DE FORMATION PROFESSIONNELLE ET D’ETUDES TECHNIQUES EN VUE DE LA CONSTRUCTION DU CENTRE PROFESSIONNELLE DES CAYES</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92D050"/>
  </sheetPr>
  <dimension ref="A1:T54"/>
  <sheetViews>
    <sheetView topLeftCell="A43" zoomScaleNormal="100" workbookViewId="0">
      <selection activeCell="E19" sqref="E19"/>
    </sheetView>
  </sheetViews>
  <sheetFormatPr defaultColWidth="11.5703125" defaultRowHeight="15" x14ac:dyDescent="0.25"/>
  <cols>
    <col min="1" max="1" width="5.7109375" style="181" customWidth="1"/>
    <col min="2" max="2" width="85.42578125" style="22" customWidth="1"/>
    <col min="3" max="3" width="8.28515625" bestFit="1" customWidth="1"/>
    <col min="4" max="4" width="3.7109375" customWidth="1"/>
    <col min="5" max="5" width="10" style="92" customWidth="1"/>
    <col min="6" max="6" width="10" style="93" customWidth="1"/>
    <col min="7" max="7" width="15" style="92" customWidth="1"/>
  </cols>
  <sheetData>
    <row r="1" spans="1:7" ht="15.75" thickBot="1" x14ac:dyDescent="0.3"/>
    <row r="2" spans="1:7" ht="33.950000000000003" customHeight="1" thickTop="1" thickBot="1" x14ac:dyDescent="0.3">
      <c r="A2" s="356" t="s">
        <v>64</v>
      </c>
      <c r="B2" s="357"/>
      <c r="C2" s="357"/>
      <c r="D2" s="357"/>
      <c r="E2" s="357"/>
      <c r="F2" s="357"/>
      <c r="G2" s="358"/>
    </row>
    <row r="3" spans="1:7" ht="16.5" thickTop="1" thickBot="1" x14ac:dyDescent="0.3">
      <c r="C3" s="1" t="s">
        <v>615</v>
      </c>
      <c r="D3" s="1"/>
      <c r="E3" s="92" t="s">
        <v>4</v>
      </c>
      <c r="F3" s="93" t="s">
        <v>5</v>
      </c>
      <c r="G3" s="92" t="s">
        <v>6</v>
      </c>
    </row>
    <row r="4" spans="1:7" ht="16.5" thickTop="1" thickBot="1" x14ac:dyDescent="0.3">
      <c r="A4" s="354" t="s">
        <v>78</v>
      </c>
      <c r="B4" s="359"/>
      <c r="C4" s="320">
        <f>119.6+(38.7*50%)</f>
        <v>138.94999999999999</v>
      </c>
      <c r="D4" s="309" t="s">
        <v>0</v>
      </c>
      <c r="E4" s="310"/>
      <c r="F4" s="95"/>
      <c r="G4" s="96">
        <f>G53/C4</f>
        <v>0</v>
      </c>
    </row>
    <row r="5" spans="1:7" ht="33" customHeight="1" thickTop="1" x14ac:dyDescent="0.25">
      <c r="A5" s="360" t="s">
        <v>625</v>
      </c>
      <c r="B5" s="361"/>
      <c r="C5" s="361"/>
      <c r="D5" s="361"/>
      <c r="E5" s="362"/>
      <c r="F5" s="331"/>
      <c r="G5" s="332"/>
    </row>
    <row r="6" spans="1:7" ht="60.75" x14ac:dyDescent="0.25">
      <c r="A6" s="335" t="s">
        <v>189</v>
      </c>
      <c r="B6" s="330" t="s">
        <v>99</v>
      </c>
      <c r="C6" s="336" t="s">
        <v>2</v>
      </c>
      <c r="D6" s="337"/>
      <c r="E6" s="338">
        <v>0</v>
      </c>
      <c r="F6" s="339">
        <v>0</v>
      </c>
      <c r="G6" s="363">
        <f t="shared" ref="G6:G23" si="0">SUM(F6*E6)</f>
        <v>0</v>
      </c>
    </row>
    <row r="7" spans="1:7" ht="72.75" x14ac:dyDescent="0.25">
      <c r="A7" s="340" t="s">
        <v>193</v>
      </c>
      <c r="B7" s="329" t="s">
        <v>490</v>
      </c>
      <c r="C7" s="325" t="s">
        <v>2</v>
      </c>
      <c r="D7" s="326"/>
      <c r="E7" s="327">
        <v>0</v>
      </c>
      <c r="F7" s="328">
        <v>0</v>
      </c>
      <c r="G7" s="364">
        <f t="shared" si="0"/>
        <v>0</v>
      </c>
    </row>
    <row r="8" spans="1:7" ht="24.75" x14ac:dyDescent="0.25">
      <c r="A8" s="340" t="s">
        <v>192</v>
      </c>
      <c r="B8" s="324" t="s">
        <v>23</v>
      </c>
      <c r="C8" s="325" t="s">
        <v>2</v>
      </c>
      <c r="D8" s="326"/>
      <c r="E8" s="327">
        <v>0</v>
      </c>
      <c r="F8" s="328">
        <v>0</v>
      </c>
      <c r="G8" s="364">
        <f t="shared" si="0"/>
        <v>0</v>
      </c>
    </row>
    <row r="9" spans="1:7" ht="24.75" x14ac:dyDescent="0.25">
      <c r="A9" s="340" t="s">
        <v>190</v>
      </c>
      <c r="B9" s="324" t="s">
        <v>436</v>
      </c>
      <c r="C9" s="325" t="s">
        <v>2</v>
      </c>
      <c r="D9" s="326"/>
      <c r="E9" s="327">
        <v>0</v>
      </c>
      <c r="F9" s="328">
        <v>0</v>
      </c>
      <c r="G9" s="364">
        <f t="shared" si="0"/>
        <v>0</v>
      </c>
    </row>
    <row r="10" spans="1:7" ht="48.75" x14ac:dyDescent="0.25">
      <c r="A10" s="340" t="s">
        <v>194</v>
      </c>
      <c r="B10" s="324" t="s">
        <v>29</v>
      </c>
      <c r="C10" s="325" t="s">
        <v>2</v>
      </c>
      <c r="D10" s="326"/>
      <c r="E10" s="327">
        <v>0</v>
      </c>
      <c r="F10" s="328">
        <v>0</v>
      </c>
      <c r="G10" s="364">
        <f t="shared" si="0"/>
        <v>0</v>
      </c>
    </row>
    <row r="11" spans="1:7" ht="144.75" x14ac:dyDescent="0.25">
      <c r="A11" s="341" t="s">
        <v>191</v>
      </c>
      <c r="B11" s="342" t="s">
        <v>98</v>
      </c>
      <c r="C11" s="343" t="s">
        <v>2</v>
      </c>
      <c r="D11" s="344"/>
      <c r="E11" s="345">
        <v>0</v>
      </c>
      <c r="F11" s="346">
        <v>0</v>
      </c>
      <c r="G11" s="365">
        <f t="shared" si="0"/>
        <v>0</v>
      </c>
    </row>
    <row r="12" spans="1:7" ht="96.75" x14ac:dyDescent="0.25">
      <c r="A12" s="185" t="s">
        <v>195</v>
      </c>
      <c r="B12" s="136" t="s">
        <v>79</v>
      </c>
      <c r="C12" s="333" t="s">
        <v>0</v>
      </c>
      <c r="D12" s="334"/>
      <c r="E12" s="148">
        <f>19.35+19.35</f>
        <v>38.700000000000003</v>
      </c>
      <c r="F12" s="149">
        <v>0</v>
      </c>
      <c r="G12" s="122">
        <f t="shared" si="0"/>
        <v>0</v>
      </c>
    </row>
    <row r="13" spans="1:7" ht="96.75" x14ac:dyDescent="0.25">
      <c r="A13" s="189" t="s">
        <v>196</v>
      </c>
      <c r="B13" s="135" t="s">
        <v>30</v>
      </c>
      <c r="C13" s="116" t="s">
        <v>2</v>
      </c>
      <c r="D13" s="117"/>
      <c r="E13" s="150">
        <v>3.12</v>
      </c>
      <c r="F13" s="151">
        <v>0</v>
      </c>
      <c r="G13" s="123">
        <f t="shared" si="0"/>
        <v>0</v>
      </c>
    </row>
    <row r="14" spans="1:7" ht="96.75" x14ac:dyDescent="0.25">
      <c r="A14" s="189" t="s">
        <v>197</v>
      </c>
      <c r="B14" s="135" t="s">
        <v>31</v>
      </c>
      <c r="C14" s="116" t="s">
        <v>2</v>
      </c>
      <c r="D14" s="117"/>
      <c r="E14" s="150">
        <v>8.85</v>
      </c>
      <c r="F14" s="151">
        <v>0</v>
      </c>
      <c r="G14" s="123">
        <f t="shared" si="0"/>
        <v>0</v>
      </c>
    </row>
    <row r="15" spans="1:7" ht="108.75" x14ac:dyDescent="0.25">
      <c r="A15" s="189" t="s">
        <v>198</v>
      </c>
      <c r="B15" s="135" t="s">
        <v>32</v>
      </c>
      <c r="C15" s="116" t="s">
        <v>2</v>
      </c>
      <c r="D15" s="117"/>
      <c r="E15" s="150">
        <v>12.51</v>
      </c>
      <c r="F15" s="151">
        <v>0</v>
      </c>
      <c r="G15" s="123">
        <f t="shared" si="0"/>
        <v>0</v>
      </c>
    </row>
    <row r="16" spans="1:7" ht="72.75" x14ac:dyDescent="0.25">
      <c r="A16" s="189" t="s">
        <v>199</v>
      </c>
      <c r="B16" s="135" t="s">
        <v>33</v>
      </c>
      <c r="C16" s="116" t="s">
        <v>0</v>
      </c>
      <c r="D16" s="117"/>
      <c r="E16" s="150">
        <f>(1.035/0.2)</f>
        <v>5.1749999999999989</v>
      </c>
      <c r="F16" s="151">
        <v>0</v>
      </c>
      <c r="G16" s="123">
        <f t="shared" si="0"/>
        <v>0</v>
      </c>
    </row>
    <row r="17" spans="1:20" ht="144.75" x14ac:dyDescent="0.25">
      <c r="A17" s="189" t="s">
        <v>200</v>
      </c>
      <c r="B17" s="135" t="s">
        <v>34</v>
      </c>
      <c r="C17" s="116" t="s">
        <v>0</v>
      </c>
      <c r="D17" s="116"/>
      <c r="E17" s="150">
        <f>(15.55/0.2)</f>
        <v>77.75</v>
      </c>
      <c r="F17" s="151">
        <v>0</v>
      </c>
      <c r="G17" s="123">
        <f t="shared" si="0"/>
        <v>0</v>
      </c>
    </row>
    <row r="18" spans="1:20" ht="84.75" x14ac:dyDescent="0.25">
      <c r="A18" s="189" t="s">
        <v>201</v>
      </c>
      <c r="B18" s="139" t="s">
        <v>47</v>
      </c>
      <c r="C18" s="116" t="s">
        <v>0</v>
      </c>
      <c r="D18" s="117"/>
      <c r="E18" s="150">
        <f>E19</f>
        <v>26.429999999999996</v>
      </c>
      <c r="F18" s="151">
        <v>0</v>
      </c>
      <c r="G18" s="123">
        <f t="shared" si="0"/>
        <v>0</v>
      </c>
    </row>
    <row r="19" spans="1:20" ht="84.75" x14ac:dyDescent="0.25">
      <c r="A19" s="189" t="s">
        <v>202</v>
      </c>
      <c r="B19" s="139" t="s">
        <v>45</v>
      </c>
      <c r="C19" s="116" t="s">
        <v>0</v>
      </c>
      <c r="D19" s="117"/>
      <c r="E19" s="150">
        <f>4*4.1*1.2+4.5*3*0.5</f>
        <v>26.429999999999996</v>
      </c>
      <c r="F19" s="151">
        <v>0</v>
      </c>
      <c r="G19" s="123">
        <f t="shared" si="0"/>
        <v>0</v>
      </c>
    </row>
    <row r="20" spans="1:20" ht="84.75" x14ac:dyDescent="0.25">
      <c r="A20" s="189" t="s">
        <v>203</v>
      </c>
      <c r="B20" s="135" t="s">
        <v>42</v>
      </c>
      <c r="C20" s="116" t="s">
        <v>0</v>
      </c>
      <c r="D20" s="117"/>
      <c r="E20" s="150">
        <f>+E17*2</f>
        <v>155.5</v>
      </c>
      <c r="F20" s="151">
        <v>0</v>
      </c>
      <c r="G20" s="123">
        <f t="shared" si="0"/>
        <v>0</v>
      </c>
    </row>
    <row r="21" spans="1:20" ht="72.75" x14ac:dyDescent="0.25">
      <c r="A21" s="273" t="s">
        <v>204</v>
      </c>
      <c r="B21" s="143" t="s">
        <v>466</v>
      </c>
      <c r="C21" s="269" t="s">
        <v>0</v>
      </c>
      <c r="D21" s="270"/>
      <c r="E21" s="150">
        <f>$C$4*0.95</f>
        <v>132.00249999999997</v>
      </c>
      <c r="F21" s="151">
        <v>0</v>
      </c>
      <c r="G21" s="123">
        <f t="shared" si="0"/>
        <v>0</v>
      </c>
    </row>
    <row r="22" spans="1:20" ht="96.75" x14ac:dyDescent="0.25">
      <c r="A22" s="273" t="s">
        <v>205</v>
      </c>
      <c r="B22" s="135" t="s">
        <v>44</v>
      </c>
      <c r="C22" s="269" t="s">
        <v>0</v>
      </c>
      <c r="D22" s="269"/>
      <c r="E22" s="150">
        <v>97.75</v>
      </c>
      <c r="F22" s="151">
        <v>0</v>
      </c>
      <c r="G22" s="123">
        <f t="shared" si="0"/>
        <v>0</v>
      </c>
    </row>
    <row r="23" spans="1:20" ht="72.75" x14ac:dyDescent="0.25">
      <c r="A23" s="273" t="s">
        <v>206</v>
      </c>
      <c r="B23" s="135" t="s">
        <v>43</v>
      </c>
      <c r="C23" s="269" t="s">
        <v>0</v>
      </c>
      <c r="D23" s="270"/>
      <c r="E23" s="150">
        <f>E22</f>
        <v>97.75</v>
      </c>
      <c r="F23" s="151">
        <v>0</v>
      </c>
      <c r="G23" s="123">
        <f t="shared" si="0"/>
        <v>0</v>
      </c>
    </row>
    <row r="24" spans="1:20" ht="60.75" x14ac:dyDescent="0.25">
      <c r="A24" s="273" t="s">
        <v>207</v>
      </c>
      <c r="B24" s="135" t="s">
        <v>37</v>
      </c>
      <c r="C24" s="269" t="s">
        <v>0</v>
      </c>
      <c r="D24" s="269"/>
      <c r="E24" s="150">
        <f>4.5*2.6</f>
        <v>11.700000000000001</v>
      </c>
      <c r="F24" s="151">
        <v>0</v>
      </c>
      <c r="G24" s="123">
        <f t="shared" ref="G24:G26" si="1">SUM(F24*E24)</f>
        <v>0</v>
      </c>
    </row>
    <row r="25" spans="1:20" ht="120.75" x14ac:dyDescent="0.25">
      <c r="A25" s="273" t="s">
        <v>208</v>
      </c>
      <c r="B25" s="135" t="s">
        <v>35</v>
      </c>
      <c r="C25" s="269" t="s">
        <v>0</v>
      </c>
      <c r="D25" s="270"/>
      <c r="E25" s="150">
        <v>117</v>
      </c>
      <c r="F25" s="203">
        <v>0</v>
      </c>
      <c r="G25" s="123">
        <f t="shared" si="1"/>
        <v>0</v>
      </c>
    </row>
    <row r="26" spans="1:20" ht="97.5" thickBot="1" x14ac:dyDescent="0.3">
      <c r="A26" s="273" t="s">
        <v>209</v>
      </c>
      <c r="B26" s="142" t="s">
        <v>36</v>
      </c>
      <c r="C26" s="288" t="s">
        <v>0</v>
      </c>
      <c r="D26" s="289"/>
      <c r="E26" s="196">
        <f>E25*1.04</f>
        <v>121.68</v>
      </c>
      <c r="F26" s="197">
        <v>0</v>
      </c>
      <c r="G26" s="198">
        <f t="shared" si="1"/>
        <v>0</v>
      </c>
    </row>
    <row r="27" spans="1:20" s="8" customFormat="1" ht="181.5" thickTop="1" x14ac:dyDescent="0.25">
      <c r="A27" s="257" t="s">
        <v>210</v>
      </c>
      <c r="B27" s="258" t="s">
        <v>610</v>
      </c>
      <c r="C27" s="249" t="s">
        <v>80</v>
      </c>
      <c r="D27" s="249"/>
      <c r="E27" s="215">
        <v>1</v>
      </c>
      <c r="F27" s="216">
        <v>0</v>
      </c>
      <c r="G27" s="217">
        <f t="shared" ref="G27" si="2">SUM(F27*E27)</f>
        <v>0</v>
      </c>
    </row>
    <row r="28" spans="1:20" s="8" customFormat="1" ht="114.75" x14ac:dyDescent="0.25">
      <c r="A28" s="259"/>
      <c r="B28" s="140" t="s">
        <v>558</v>
      </c>
      <c r="C28" s="260" t="s">
        <v>95</v>
      </c>
      <c r="D28" s="260"/>
      <c r="E28" s="261">
        <v>6</v>
      </c>
      <c r="F28" s="262">
        <v>0</v>
      </c>
      <c r="G28" s="263"/>
      <c r="I28" s="222"/>
      <c r="J28" s="222"/>
      <c r="K28" s="222"/>
      <c r="L28" s="222"/>
      <c r="M28" s="222"/>
      <c r="N28" s="222"/>
      <c r="O28" s="222"/>
      <c r="P28" s="222"/>
      <c r="Q28" s="222"/>
      <c r="R28" s="222"/>
      <c r="S28" s="7"/>
      <c r="T28" s="7"/>
    </row>
    <row r="29" spans="1:20" s="8" customFormat="1" ht="51" x14ac:dyDescent="0.25">
      <c r="A29" s="259"/>
      <c r="B29" s="139" t="s">
        <v>512</v>
      </c>
      <c r="C29" s="260" t="s">
        <v>95</v>
      </c>
      <c r="D29" s="260"/>
      <c r="E29" s="261">
        <v>6</v>
      </c>
      <c r="F29" s="262">
        <v>0</v>
      </c>
      <c r="G29" s="263"/>
      <c r="I29" s="222"/>
      <c r="J29" s="222"/>
      <c r="K29" s="222"/>
      <c r="L29" s="222"/>
      <c r="M29" s="222"/>
      <c r="N29" s="222"/>
      <c r="O29" s="222"/>
      <c r="P29" s="222"/>
      <c r="Q29" s="222"/>
      <c r="R29" s="222"/>
      <c r="S29" s="7"/>
      <c r="T29" s="7"/>
    </row>
    <row r="30" spans="1:20" s="8" customFormat="1" ht="25.5" x14ac:dyDescent="0.25">
      <c r="A30" s="259"/>
      <c r="B30" s="140" t="s">
        <v>505</v>
      </c>
      <c r="C30" s="260" t="s">
        <v>95</v>
      </c>
      <c r="D30" s="260"/>
      <c r="E30" s="261">
        <v>4</v>
      </c>
      <c r="F30" s="262">
        <v>0</v>
      </c>
      <c r="G30" s="263"/>
      <c r="I30" s="222"/>
      <c r="J30" s="222"/>
      <c r="K30" s="222"/>
      <c r="L30" s="222"/>
      <c r="M30" s="222"/>
      <c r="N30" s="222"/>
      <c r="O30" s="222"/>
      <c r="P30" s="222"/>
      <c r="Q30" s="222"/>
      <c r="R30" s="222"/>
      <c r="S30" s="7"/>
      <c r="T30" s="7"/>
    </row>
    <row r="31" spans="1:20" s="8" customFormat="1" ht="25.5" x14ac:dyDescent="0.25">
      <c r="A31" s="259"/>
      <c r="B31" s="140" t="s">
        <v>508</v>
      </c>
      <c r="C31" s="260" t="s">
        <v>95</v>
      </c>
      <c r="D31" s="260"/>
      <c r="E31" s="261">
        <v>1</v>
      </c>
      <c r="F31" s="262">
        <v>0</v>
      </c>
      <c r="G31" s="263"/>
      <c r="I31" s="222"/>
      <c r="J31" s="222"/>
      <c r="K31" s="222"/>
      <c r="L31" s="222"/>
      <c r="M31" s="222"/>
      <c r="N31" s="222"/>
      <c r="O31" s="222"/>
      <c r="P31" s="222"/>
      <c r="Q31" s="222"/>
      <c r="R31" s="222"/>
      <c r="S31" s="7"/>
      <c r="T31" s="7"/>
    </row>
    <row r="32" spans="1:20" s="7" customFormat="1" ht="51" x14ac:dyDescent="0.25">
      <c r="A32" s="259"/>
      <c r="B32" s="140" t="s">
        <v>539</v>
      </c>
      <c r="C32" s="260" t="s">
        <v>80</v>
      </c>
      <c r="D32" s="260"/>
      <c r="E32" s="261">
        <v>1</v>
      </c>
      <c r="F32" s="262">
        <v>0</v>
      </c>
      <c r="G32" s="263"/>
      <c r="I32" s="222"/>
      <c r="J32" s="222"/>
      <c r="K32" s="222"/>
      <c r="L32" s="222"/>
      <c r="M32" s="222"/>
      <c r="N32" s="222"/>
      <c r="O32" s="222"/>
      <c r="P32" s="222"/>
      <c r="Q32" s="222"/>
      <c r="R32" s="222"/>
    </row>
    <row r="33" spans="1:18" s="7" customFormat="1" ht="76.5" x14ac:dyDescent="0.25">
      <c r="A33" s="259"/>
      <c r="B33" s="140" t="s">
        <v>542</v>
      </c>
      <c r="C33" s="260" t="s">
        <v>80</v>
      </c>
      <c r="D33" s="260"/>
      <c r="E33" s="261">
        <v>1</v>
      </c>
      <c r="F33" s="262">
        <v>0</v>
      </c>
      <c r="G33" s="263"/>
      <c r="I33" s="222"/>
      <c r="J33" s="222"/>
      <c r="K33" s="222"/>
      <c r="L33" s="222"/>
      <c r="M33" s="222"/>
      <c r="N33" s="222"/>
      <c r="O33" s="222"/>
      <c r="P33" s="222"/>
      <c r="Q33" s="222"/>
      <c r="R33" s="222"/>
    </row>
    <row r="34" spans="1:18" s="7" customFormat="1" ht="63.75" x14ac:dyDescent="0.25">
      <c r="A34" s="259"/>
      <c r="B34" s="139" t="s">
        <v>541</v>
      </c>
      <c r="C34" s="260" t="s">
        <v>95</v>
      </c>
      <c r="D34" s="260"/>
      <c r="E34" s="261">
        <v>1</v>
      </c>
      <c r="F34" s="262">
        <v>0</v>
      </c>
      <c r="G34" s="263"/>
      <c r="I34" s="222"/>
      <c r="J34" s="222"/>
      <c r="K34" s="222"/>
      <c r="L34" s="222"/>
      <c r="M34" s="222"/>
      <c r="N34" s="222"/>
      <c r="O34" s="222"/>
      <c r="P34" s="222"/>
      <c r="Q34" s="222"/>
      <c r="R34" s="222"/>
    </row>
    <row r="35" spans="1:18" s="7" customFormat="1" ht="16.5" x14ac:dyDescent="0.25">
      <c r="A35" s="259"/>
      <c r="B35" s="140" t="s">
        <v>506</v>
      </c>
      <c r="C35" s="260" t="s">
        <v>80</v>
      </c>
      <c r="D35" s="260"/>
      <c r="E35" s="261">
        <v>1</v>
      </c>
      <c r="F35" s="262">
        <v>0</v>
      </c>
      <c r="G35" s="263"/>
      <c r="I35" s="222"/>
      <c r="J35" s="222"/>
      <c r="K35" s="222"/>
      <c r="L35" s="222"/>
      <c r="M35" s="222"/>
      <c r="N35" s="222"/>
      <c r="O35" s="222"/>
      <c r="P35" s="222"/>
      <c r="Q35" s="222"/>
      <c r="R35" s="222"/>
    </row>
    <row r="36" spans="1:18" s="7" customFormat="1" ht="64.5" thickBot="1" x14ac:dyDescent="0.3">
      <c r="A36" s="259"/>
      <c r="B36" s="140" t="s">
        <v>515</v>
      </c>
      <c r="C36" s="260" t="s">
        <v>80</v>
      </c>
      <c r="D36" s="260"/>
      <c r="E36" s="261">
        <v>1</v>
      </c>
      <c r="F36" s="262">
        <v>0</v>
      </c>
      <c r="G36" s="263"/>
      <c r="I36" s="222"/>
      <c r="J36" s="222"/>
      <c r="K36" s="222"/>
      <c r="L36" s="222"/>
      <c r="M36" s="222"/>
      <c r="N36" s="222"/>
      <c r="O36" s="222"/>
      <c r="P36" s="222"/>
      <c r="Q36" s="222"/>
      <c r="R36" s="222"/>
    </row>
    <row r="37" spans="1:18" s="146" customFormat="1" ht="301.5" thickTop="1" x14ac:dyDescent="0.25">
      <c r="A37" s="267" t="s">
        <v>211</v>
      </c>
      <c r="B37" s="258" t="s">
        <v>611</v>
      </c>
      <c r="C37" s="249" t="s">
        <v>80</v>
      </c>
      <c r="D37" s="249"/>
      <c r="E37" s="215">
        <v>1</v>
      </c>
      <c r="F37" s="216">
        <v>0</v>
      </c>
      <c r="G37" s="217">
        <f>SUM(F37*E37)</f>
        <v>0</v>
      </c>
    </row>
    <row r="38" spans="1:18" s="8" customFormat="1" ht="16.5" x14ac:dyDescent="0.25">
      <c r="A38" s="268"/>
      <c r="B38" s="226" t="s">
        <v>519</v>
      </c>
      <c r="C38" s="260"/>
      <c r="D38" s="260"/>
      <c r="E38" s="261"/>
      <c r="F38" s="262"/>
      <c r="G38" s="263"/>
    </row>
    <row r="39" spans="1:18" s="8" customFormat="1" ht="38.25" x14ac:dyDescent="0.25">
      <c r="A39" s="268"/>
      <c r="B39" s="139" t="s">
        <v>540</v>
      </c>
      <c r="C39" s="260" t="s">
        <v>516</v>
      </c>
      <c r="D39" s="260"/>
      <c r="E39" s="261">
        <f>8*4+9*2+13*2</f>
        <v>76</v>
      </c>
      <c r="F39" s="262">
        <v>0</v>
      </c>
      <c r="G39" s="263">
        <f t="shared" ref="G39:G43" si="3">E39*F39</f>
        <v>0</v>
      </c>
    </row>
    <row r="40" spans="1:18" s="8" customFormat="1" ht="38.25" x14ac:dyDescent="0.25">
      <c r="A40" s="268"/>
      <c r="B40" s="139" t="s">
        <v>527</v>
      </c>
      <c r="C40" s="260" t="s">
        <v>80</v>
      </c>
      <c r="D40" s="260"/>
      <c r="E40" s="261">
        <v>1</v>
      </c>
      <c r="F40" s="262">
        <v>0</v>
      </c>
      <c r="G40" s="263">
        <f t="shared" si="3"/>
        <v>0</v>
      </c>
    </row>
    <row r="41" spans="1:18" s="8" customFormat="1" ht="16.5" x14ac:dyDescent="0.25">
      <c r="A41" s="268"/>
      <c r="B41" s="139" t="s">
        <v>520</v>
      </c>
      <c r="C41" s="260" t="s">
        <v>95</v>
      </c>
      <c r="D41" s="260"/>
      <c r="E41" s="261">
        <f>8*3</f>
        <v>24</v>
      </c>
      <c r="F41" s="262">
        <v>0</v>
      </c>
      <c r="G41" s="263">
        <f t="shared" si="3"/>
        <v>0</v>
      </c>
    </row>
    <row r="42" spans="1:18" s="8" customFormat="1" ht="16.5" x14ac:dyDescent="0.25">
      <c r="A42" s="268"/>
      <c r="B42" s="139" t="s">
        <v>535</v>
      </c>
      <c r="C42" s="260" t="s">
        <v>95</v>
      </c>
      <c r="D42" s="260"/>
      <c r="E42" s="261">
        <f>9*2+13*2</f>
        <v>44</v>
      </c>
      <c r="F42" s="262">
        <v>0</v>
      </c>
      <c r="G42" s="263">
        <f t="shared" si="3"/>
        <v>0</v>
      </c>
    </row>
    <row r="43" spans="1:18" s="8" customFormat="1" ht="17.25" thickBot="1" x14ac:dyDescent="0.3">
      <c r="A43" s="268"/>
      <c r="B43" s="140" t="s">
        <v>526</v>
      </c>
      <c r="C43" s="260" t="s">
        <v>80</v>
      </c>
      <c r="D43" s="260"/>
      <c r="E43" s="261">
        <v>1</v>
      </c>
      <c r="F43" s="262">
        <v>0</v>
      </c>
      <c r="G43" s="263">
        <f t="shared" si="3"/>
        <v>0</v>
      </c>
    </row>
    <row r="44" spans="1:18" s="8" customFormat="1" ht="145.5" thickTop="1" x14ac:dyDescent="0.25">
      <c r="A44" s="257" t="s">
        <v>212</v>
      </c>
      <c r="B44" s="258" t="s">
        <v>612</v>
      </c>
      <c r="C44" s="249" t="s">
        <v>80</v>
      </c>
      <c r="D44" s="249"/>
      <c r="E44" s="215">
        <v>1</v>
      </c>
      <c r="F44" s="216">
        <v>0</v>
      </c>
      <c r="G44" s="217">
        <f>SUM(F44*E44)</f>
        <v>0</v>
      </c>
    </row>
    <row r="45" spans="1:18" s="7" customFormat="1" ht="63.75" x14ac:dyDescent="0.25">
      <c r="A45" s="259"/>
      <c r="B45" s="140" t="s">
        <v>543</v>
      </c>
      <c r="C45" s="260" t="s">
        <v>80</v>
      </c>
      <c r="D45" s="260"/>
      <c r="E45" s="261">
        <v>1</v>
      </c>
      <c r="F45" s="262">
        <v>0</v>
      </c>
      <c r="G45" s="263">
        <f t="shared" ref="G45:G49" si="4">E45*F45</f>
        <v>0</v>
      </c>
      <c r="I45" s="222"/>
      <c r="J45" s="222"/>
      <c r="K45" s="222"/>
      <c r="L45" s="222"/>
      <c r="M45" s="222"/>
      <c r="N45" s="222"/>
      <c r="O45" s="222"/>
      <c r="P45" s="222"/>
      <c r="Q45" s="222"/>
      <c r="R45" s="222"/>
    </row>
    <row r="46" spans="1:18" s="7" customFormat="1" ht="63.75" x14ac:dyDescent="0.25">
      <c r="A46" s="259"/>
      <c r="B46" s="140" t="s">
        <v>544</v>
      </c>
      <c r="C46" s="260" t="s">
        <v>80</v>
      </c>
      <c r="D46" s="260"/>
      <c r="E46" s="261">
        <v>1</v>
      </c>
      <c r="F46" s="262">
        <v>0</v>
      </c>
      <c r="G46" s="263">
        <f t="shared" si="4"/>
        <v>0</v>
      </c>
      <c r="I46" s="222"/>
      <c r="J46" s="222"/>
      <c r="K46" s="222"/>
      <c r="L46" s="222"/>
      <c r="M46" s="222"/>
      <c r="N46" s="222"/>
      <c r="O46" s="222"/>
      <c r="P46" s="222"/>
      <c r="Q46" s="222"/>
      <c r="R46" s="222"/>
    </row>
    <row r="47" spans="1:18" s="146" customFormat="1" ht="38.25" x14ac:dyDescent="0.25">
      <c r="A47" s="257"/>
      <c r="B47" s="274" t="s">
        <v>537</v>
      </c>
      <c r="C47" s="275" t="s">
        <v>95</v>
      </c>
      <c r="D47" s="275"/>
      <c r="E47" s="276">
        <v>2</v>
      </c>
      <c r="F47" s="262">
        <v>0</v>
      </c>
      <c r="G47" s="263">
        <f t="shared" si="4"/>
        <v>0</v>
      </c>
    </row>
    <row r="48" spans="1:18" s="146" customFormat="1" ht="63.75" x14ac:dyDescent="0.25">
      <c r="A48" s="257"/>
      <c r="B48" s="274" t="s">
        <v>553</v>
      </c>
      <c r="C48" s="275" t="s">
        <v>95</v>
      </c>
      <c r="D48" s="275"/>
      <c r="E48" s="276">
        <v>1</v>
      </c>
      <c r="F48" s="262">
        <v>0</v>
      </c>
      <c r="G48" s="263">
        <f t="shared" si="4"/>
        <v>0</v>
      </c>
    </row>
    <row r="49" spans="1:7" s="146" customFormat="1" ht="17.25" thickBot="1" x14ac:dyDescent="0.3">
      <c r="A49" s="257"/>
      <c r="B49" s="277" t="s">
        <v>526</v>
      </c>
      <c r="C49" s="278" t="s">
        <v>80</v>
      </c>
      <c r="D49" s="278"/>
      <c r="E49" s="279">
        <v>1</v>
      </c>
      <c r="F49" s="280">
        <v>0</v>
      </c>
      <c r="G49" s="281">
        <f t="shared" si="4"/>
        <v>0</v>
      </c>
    </row>
    <row r="50" spans="1:7" ht="15.75" thickTop="1" x14ac:dyDescent="0.25">
      <c r="A50" s="273" t="s">
        <v>213</v>
      </c>
      <c r="B50" s="227" t="s">
        <v>438</v>
      </c>
      <c r="C50" s="249"/>
      <c r="D50" s="249"/>
      <c r="E50" s="250"/>
      <c r="F50" s="251"/>
      <c r="G50" s="291"/>
    </row>
    <row r="51" spans="1:7" x14ac:dyDescent="0.25">
      <c r="A51" s="189" t="s">
        <v>470</v>
      </c>
      <c r="B51" s="225" t="s">
        <v>14</v>
      </c>
      <c r="C51" s="153" t="s">
        <v>12</v>
      </c>
      <c r="D51" s="153"/>
      <c r="E51" s="154">
        <v>1</v>
      </c>
      <c r="F51" s="155">
        <v>0</v>
      </c>
      <c r="G51" s="156">
        <f>E51*F51</f>
        <v>0</v>
      </c>
    </row>
    <row r="52" spans="1:7" ht="15.75" thickBot="1" x14ac:dyDescent="0.3">
      <c r="A52" s="189" t="s">
        <v>471</v>
      </c>
      <c r="B52" s="49" t="s">
        <v>13</v>
      </c>
      <c r="C52" s="157" t="s">
        <v>12</v>
      </c>
      <c r="D52" s="157"/>
      <c r="E52" s="158">
        <v>2</v>
      </c>
      <c r="F52" s="159">
        <v>0</v>
      </c>
      <c r="G52" s="160">
        <f>E52*F52</f>
        <v>0</v>
      </c>
    </row>
    <row r="53" spans="1:7" ht="16.5" thickTop="1" thickBot="1" x14ac:dyDescent="0.3">
      <c r="A53" s="186"/>
      <c r="B53" s="55"/>
      <c r="C53" s="56"/>
      <c r="D53" s="56"/>
      <c r="E53" s="101"/>
      <c r="F53" s="102"/>
      <c r="G53" s="103">
        <f>SUM(G6:G52)</f>
        <v>0</v>
      </c>
    </row>
    <row r="54" spans="1:7" ht="15.75" thickTop="1" x14ac:dyDescent="0.25"/>
  </sheetData>
  <mergeCells count="3">
    <mergeCell ref="A4:B4"/>
    <mergeCell ref="A2:G2"/>
    <mergeCell ref="A5:E5"/>
  </mergeCells>
  <printOptions horizontalCentered="1"/>
  <pageMargins left="0.39370078740157483" right="0.39370078740157483" top="0.39370078740157483" bottom="0.59055118110236227" header="0.31496062992125984" footer="0.31496062992125984"/>
  <pageSetup paperSize="9" orientation="landscape" r:id="rId1"/>
  <headerFooter>
    <oddFooter>&amp;L&amp;8CONCEPTION ET ADAPTATION ARCHITECTURALE-STRUCTURALE DES PLAN TYPES DE CENTRES PUBLICS DE FORMATION PROFESSIONNELLE ET D’ETUDES TECHNIQUES EN VUE DE LA CONSTRUCTION DU CENTRE PROFESSIONNELLE DES CAYES</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92D050"/>
  </sheetPr>
  <dimension ref="A1:T86"/>
  <sheetViews>
    <sheetView zoomScaleNormal="100" workbookViewId="0">
      <selection activeCell="H7" sqref="H7"/>
    </sheetView>
  </sheetViews>
  <sheetFormatPr defaultColWidth="11.5703125" defaultRowHeight="15" x14ac:dyDescent="0.25"/>
  <cols>
    <col min="1" max="1" width="5.7109375" style="181" customWidth="1"/>
    <col min="2" max="2" width="85.42578125" style="22" customWidth="1"/>
    <col min="3" max="3" width="8.28515625" bestFit="1" customWidth="1"/>
    <col min="4" max="4" width="3.7109375" customWidth="1"/>
    <col min="5" max="5" width="10" style="92" customWidth="1"/>
    <col min="6" max="6" width="10" style="93" customWidth="1"/>
    <col min="7" max="7" width="15" style="92" customWidth="1"/>
    <col min="8" max="11" width="11.5703125" customWidth="1"/>
  </cols>
  <sheetData>
    <row r="1" spans="1:7" ht="33.950000000000003" customHeight="1" thickTop="1" thickBot="1" x14ac:dyDescent="0.3">
      <c r="A1" s="356" t="s">
        <v>65</v>
      </c>
      <c r="B1" s="357"/>
      <c r="C1" s="357"/>
      <c r="D1" s="357"/>
      <c r="E1" s="357"/>
      <c r="F1" s="357"/>
      <c r="G1" s="358"/>
    </row>
    <row r="2" spans="1:7" ht="16.5" thickTop="1" thickBot="1" x14ac:dyDescent="0.3">
      <c r="C2" s="1" t="s">
        <v>615</v>
      </c>
      <c r="D2" s="1"/>
      <c r="E2" s="92" t="s">
        <v>4</v>
      </c>
      <c r="F2" s="93" t="s">
        <v>5</v>
      </c>
      <c r="G2" s="92" t="s">
        <v>6</v>
      </c>
    </row>
    <row r="3" spans="1:7" ht="16.5" thickTop="1" thickBot="1" x14ac:dyDescent="0.3">
      <c r="A3" s="354" t="s">
        <v>9</v>
      </c>
      <c r="B3" s="355"/>
      <c r="C3" s="53">
        <f>294.34+(95*50%)</f>
        <v>341.84</v>
      </c>
      <c r="D3" s="54" t="s">
        <v>0</v>
      </c>
      <c r="E3" s="94"/>
      <c r="F3" s="95"/>
      <c r="G3" s="96">
        <f>G85/C3</f>
        <v>0</v>
      </c>
    </row>
    <row r="4" spans="1:7" ht="40.5" customHeight="1" thickTop="1" x14ac:dyDescent="0.25">
      <c r="A4" s="188" t="s">
        <v>214</v>
      </c>
      <c r="B4" s="297" t="s">
        <v>99</v>
      </c>
      <c r="C4" s="200" t="s">
        <v>2</v>
      </c>
      <c r="D4" s="201"/>
      <c r="E4" s="319">
        <v>889.88</v>
      </c>
      <c r="F4" s="192">
        <v>0</v>
      </c>
      <c r="G4" s="193">
        <f t="shared" ref="G4:G7" si="0">SUM(F4*E4)</f>
        <v>0</v>
      </c>
    </row>
    <row r="5" spans="1:7" ht="40.5" customHeight="1" x14ac:dyDescent="0.25">
      <c r="A5" s="189" t="s">
        <v>215</v>
      </c>
      <c r="B5" s="298" t="s">
        <v>490</v>
      </c>
      <c r="C5" s="116" t="s">
        <v>2</v>
      </c>
      <c r="D5" s="117"/>
      <c r="E5" s="299">
        <v>418.24</v>
      </c>
      <c r="F5" s="151">
        <v>0</v>
      </c>
      <c r="G5" s="123">
        <f t="shared" si="0"/>
        <v>0</v>
      </c>
    </row>
    <row r="6" spans="1:7" ht="40.5" customHeight="1" x14ac:dyDescent="0.25">
      <c r="A6" s="189" t="s">
        <v>216</v>
      </c>
      <c r="B6" s="298" t="s">
        <v>29</v>
      </c>
      <c r="C6" s="116" t="s">
        <v>2</v>
      </c>
      <c r="D6" s="117"/>
      <c r="E6" s="299">
        <v>29.36</v>
      </c>
      <c r="F6" s="151">
        <v>0</v>
      </c>
      <c r="G6" s="123">
        <f t="shared" si="0"/>
        <v>0</v>
      </c>
    </row>
    <row r="7" spans="1:7" ht="40.5" customHeight="1" x14ac:dyDescent="0.25">
      <c r="A7" s="189" t="s">
        <v>217</v>
      </c>
      <c r="B7" s="300" t="s">
        <v>98</v>
      </c>
      <c r="C7" s="116" t="s">
        <v>2</v>
      </c>
      <c r="D7" s="117"/>
      <c r="E7" s="299">
        <v>179.82</v>
      </c>
      <c r="F7" s="151">
        <v>0</v>
      </c>
      <c r="G7" s="123">
        <f t="shared" si="0"/>
        <v>0</v>
      </c>
    </row>
    <row r="8" spans="1:7" ht="30" customHeight="1" x14ac:dyDescent="0.25">
      <c r="A8" s="307"/>
      <c r="B8" s="301" t="s">
        <v>616</v>
      </c>
      <c r="C8" s="302" t="s">
        <v>2</v>
      </c>
      <c r="D8" s="303"/>
      <c r="E8" s="304">
        <v>41.47</v>
      </c>
      <c r="F8" s="305">
        <v>0</v>
      </c>
      <c r="G8" s="318"/>
    </row>
    <row r="9" spans="1:7" ht="30" customHeight="1" x14ac:dyDescent="0.25">
      <c r="A9" s="307"/>
      <c r="B9" s="301" t="s">
        <v>617</v>
      </c>
      <c r="C9" s="302" t="s">
        <v>2</v>
      </c>
      <c r="D9" s="303"/>
      <c r="E9" s="304">
        <v>99.5</v>
      </c>
      <c r="F9" s="305"/>
      <c r="G9" s="318"/>
    </row>
    <row r="10" spans="1:7" ht="30" customHeight="1" x14ac:dyDescent="0.25">
      <c r="A10" s="307"/>
      <c r="B10" s="301" t="s">
        <v>618</v>
      </c>
      <c r="C10" s="302" t="s">
        <v>2</v>
      </c>
      <c r="D10" s="303"/>
      <c r="E10" s="304">
        <v>17.559999999999999</v>
      </c>
      <c r="F10" s="305"/>
      <c r="G10" s="318"/>
    </row>
    <row r="11" spans="1:7" ht="96.75" x14ac:dyDescent="0.25">
      <c r="A11" s="189" t="s">
        <v>218</v>
      </c>
      <c r="B11" s="135" t="s">
        <v>79</v>
      </c>
      <c r="C11" s="116" t="s">
        <v>0</v>
      </c>
      <c r="D11" s="117"/>
      <c r="E11" s="150">
        <f>47.5+47.5</f>
        <v>95</v>
      </c>
      <c r="F11" s="151">
        <v>0</v>
      </c>
      <c r="G11" s="123">
        <f t="shared" ref="G11:G15" si="1">SUM(F11*E11)</f>
        <v>0</v>
      </c>
    </row>
    <row r="12" spans="1:7" ht="96.75" x14ac:dyDescent="0.25">
      <c r="A12" s="189" t="s">
        <v>219</v>
      </c>
      <c r="B12" s="135" t="s">
        <v>30</v>
      </c>
      <c r="C12" s="116" t="s">
        <v>2</v>
      </c>
      <c r="D12" s="117"/>
      <c r="E12" s="150">
        <v>12.16</v>
      </c>
      <c r="F12" s="151">
        <v>0</v>
      </c>
      <c r="G12" s="123">
        <f t="shared" si="1"/>
        <v>0</v>
      </c>
    </row>
    <row r="13" spans="1:7" ht="96.75" x14ac:dyDescent="0.25">
      <c r="A13" s="189" t="s">
        <v>220</v>
      </c>
      <c r="B13" s="135" t="s">
        <v>31</v>
      </c>
      <c r="C13" s="116" t="s">
        <v>2</v>
      </c>
      <c r="D13" s="117"/>
      <c r="E13" s="150">
        <v>20.7</v>
      </c>
      <c r="F13" s="151">
        <v>0</v>
      </c>
      <c r="G13" s="123">
        <f t="shared" si="1"/>
        <v>0</v>
      </c>
    </row>
    <row r="14" spans="1:7" ht="108.75" x14ac:dyDescent="0.25">
      <c r="A14" s="189" t="s">
        <v>221</v>
      </c>
      <c r="B14" s="135" t="s">
        <v>32</v>
      </c>
      <c r="C14" s="116" t="s">
        <v>2</v>
      </c>
      <c r="D14" s="117"/>
      <c r="E14" s="150">
        <v>27.560000000000002</v>
      </c>
      <c r="F14" s="151">
        <v>0</v>
      </c>
      <c r="G14" s="123">
        <f t="shared" si="1"/>
        <v>0</v>
      </c>
    </row>
    <row r="15" spans="1:7" ht="144.75" x14ac:dyDescent="0.25">
      <c r="A15" s="189" t="s">
        <v>222</v>
      </c>
      <c r="B15" s="135" t="s">
        <v>34</v>
      </c>
      <c r="C15" s="116" t="s">
        <v>0</v>
      </c>
      <c r="D15" s="116"/>
      <c r="E15" s="150">
        <f>(12.767/0.2)+(46.4843/0.2)</f>
        <v>296.25649999999996</v>
      </c>
      <c r="F15" s="151">
        <v>0</v>
      </c>
      <c r="G15" s="123">
        <f t="shared" si="1"/>
        <v>0</v>
      </c>
    </row>
    <row r="16" spans="1:7" ht="156.75" x14ac:dyDescent="0.25">
      <c r="A16" s="189" t="s">
        <v>223</v>
      </c>
      <c r="B16" s="135" t="s">
        <v>38</v>
      </c>
      <c r="C16" s="116" t="s">
        <v>0</v>
      </c>
      <c r="D16" s="116"/>
      <c r="E16" s="150">
        <f>(4.5+4.5+6)*2.6</f>
        <v>39</v>
      </c>
      <c r="F16" s="151">
        <v>0</v>
      </c>
      <c r="G16" s="123">
        <f t="shared" ref="G16:G29" si="2">SUM(F16*E16)</f>
        <v>0</v>
      </c>
    </row>
    <row r="17" spans="1:7" ht="96.75" x14ac:dyDescent="0.25">
      <c r="A17" s="189" t="s">
        <v>224</v>
      </c>
      <c r="B17" s="135" t="s">
        <v>40</v>
      </c>
      <c r="C17" s="116"/>
      <c r="D17" s="116"/>
      <c r="E17" s="150"/>
      <c r="F17" s="151"/>
      <c r="G17" s="123"/>
    </row>
    <row r="18" spans="1:7" x14ac:dyDescent="0.25">
      <c r="A18" s="189" t="s">
        <v>419</v>
      </c>
      <c r="B18" s="135" t="s">
        <v>451</v>
      </c>
      <c r="C18" s="116" t="s">
        <v>3</v>
      </c>
      <c r="D18" s="116"/>
      <c r="E18" s="213">
        <v>4</v>
      </c>
      <c r="F18" s="151">
        <v>0</v>
      </c>
      <c r="G18" s="123">
        <f t="shared" si="2"/>
        <v>0</v>
      </c>
    </row>
    <row r="19" spans="1:7" x14ac:dyDescent="0.25">
      <c r="A19" s="189" t="s">
        <v>420</v>
      </c>
      <c r="B19" s="135" t="s">
        <v>452</v>
      </c>
      <c r="C19" s="116" t="s">
        <v>3</v>
      </c>
      <c r="D19" s="116"/>
      <c r="E19" s="150">
        <v>1</v>
      </c>
      <c r="F19" s="151">
        <v>0</v>
      </c>
      <c r="G19" s="123">
        <f t="shared" si="2"/>
        <v>0</v>
      </c>
    </row>
    <row r="20" spans="1:7" x14ac:dyDescent="0.25">
      <c r="A20" s="189" t="s">
        <v>421</v>
      </c>
      <c r="B20" s="135" t="s">
        <v>453</v>
      </c>
      <c r="C20" s="116" t="s">
        <v>3</v>
      </c>
      <c r="D20" s="117"/>
      <c r="E20" s="150">
        <v>6</v>
      </c>
      <c r="F20" s="151">
        <v>0</v>
      </c>
      <c r="G20" s="123">
        <f t="shared" si="2"/>
        <v>0</v>
      </c>
    </row>
    <row r="21" spans="1:7" ht="96.75" x14ac:dyDescent="0.25">
      <c r="A21" s="189" t="s">
        <v>225</v>
      </c>
      <c r="B21" s="139" t="s">
        <v>39</v>
      </c>
      <c r="C21" s="116" t="s">
        <v>3</v>
      </c>
      <c r="D21" s="117"/>
      <c r="E21" s="213">
        <v>3</v>
      </c>
      <c r="F21" s="151">
        <v>0</v>
      </c>
      <c r="G21" s="123">
        <f t="shared" si="2"/>
        <v>0</v>
      </c>
    </row>
    <row r="22" spans="1:7" ht="84.75" x14ac:dyDescent="0.25">
      <c r="A22" s="189" t="s">
        <v>226</v>
      </c>
      <c r="B22" s="139" t="s">
        <v>47</v>
      </c>
      <c r="C22" s="116" t="s">
        <v>0</v>
      </c>
      <c r="D22" s="117"/>
      <c r="E22" s="150">
        <f>E23</f>
        <v>82.649999999999991</v>
      </c>
      <c r="F22" s="151">
        <v>0</v>
      </c>
      <c r="G22" s="123">
        <f>SUM(F22*E22)</f>
        <v>0</v>
      </c>
    </row>
    <row r="23" spans="1:7" ht="84.75" x14ac:dyDescent="0.25">
      <c r="A23" s="189" t="s">
        <v>227</v>
      </c>
      <c r="B23" s="139" t="s">
        <v>45</v>
      </c>
      <c r="C23" s="116" t="s">
        <v>0</v>
      </c>
      <c r="D23" s="117"/>
      <c r="E23" s="213">
        <f>(5.5+5.5)*1.2+(10*4.1)*1.2+9*4.5*0.5</f>
        <v>82.649999999999991</v>
      </c>
      <c r="F23" s="151">
        <v>0</v>
      </c>
      <c r="G23" s="123">
        <f t="shared" si="2"/>
        <v>0</v>
      </c>
    </row>
    <row r="24" spans="1:7" ht="84.75" x14ac:dyDescent="0.25">
      <c r="A24" s="273" t="s">
        <v>228</v>
      </c>
      <c r="B24" s="135" t="s">
        <v>42</v>
      </c>
      <c r="C24" s="269" t="s">
        <v>0</v>
      </c>
      <c r="D24" s="270"/>
      <c r="E24" s="150">
        <f>E16*2+E15*2</f>
        <v>670.51299999999992</v>
      </c>
      <c r="F24" s="151">
        <v>0</v>
      </c>
      <c r="G24" s="123">
        <f t="shared" si="2"/>
        <v>0</v>
      </c>
    </row>
    <row r="25" spans="1:7" ht="72.75" x14ac:dyDescent="0.25">
      <c r="A25" s="273" t="s">
        <v>229</v>
      </c>
      <c r="B25" s="143" t="s">
        <v>466</v>
      </c>
      <c r="C25" s="269" t="s">
        <v>0</v>
      </c>
      <c r="D25" s="270"/>
      <c r="E25" s="150">
        <f>$C$3*0.95</f>
        <v>324.74799999999993</v>
      </c>
      <c r="F25" s="151">
        <v>0</v>
      </c>
      <c r="G25" s="123">
        <f>SUM(F25*E25)</f>
        <v>0</v>
      </c>
    </row>
    <row r="26" spans="1:7" ht="96.75" x14ac:dyDescent="0.25">
      <c r="A26" s="273" t="s">
        <v>230</v>
      </c>
      <c r="B26" s="135" t="s">
        <v>44</v>
      </c>
      <c r="C26" s="269" t="s">
        <v>0</v>
      </c>
      <c r="D26" s="269"/>
      <c r="E26" s="150">
        <v>251.85</v>
      </c>
      <c r="F26" s="151">
        <v>0</v>
      </c>
      <c r="G26" s="123">
        <f>SUM(F26*E26)</f>
        <v>0</v>
      </c>
    </row>
    <row r="27" spans="1:7" ht="72.75" x14ac:dyDescent="0.25">
      <c r="A27" s="273" t="s">
        <v>231</v>
      </c>
      <c r="B27" s="135" t="s">
        <v>43</v>
      </c>
      <c r="C27" s="269" t="s">
        <v>0</v>
      </c>
      <c r="D27" s="270"/>
      <c r="E27" s="150">
        <f>E26</f>
        <v>251.85</v>
      </c>
      <c r="F27" s="151">
        <v>0</v>
      </c>
      <c r="G27" s="123">
        <f>SUM(F27*E27)</f>
        <v>0</v>
      </c>
    </row>
    <row r="28" spans="1:7" ht="72.75" x14ac:dyDescent="0.25">
      <c r="A28" s="273" t="s">
        <v>232</v>
      </c>
      <c r="B28" s="135" t="s">
        <v>41</v>
      </c>
      <c r="C28" s="269" t="s">
        <v>0</v>
      </c>
      <c r="D28" s="270"/>
      <c r="E28" s="150">
        <v>62.52</v>
      </c>
      <c r="F28" s="151">
        <v>0</v>
      </c>
      <c r="G28" s="123">
        <f>SUM(F28*E28)</f>
        <v>0</v>
      </c>
    </row>
    <row r="29" spans="1:7" ht="60.75" x14ac:dyDescent="0.25">
      <c r="A29" s="273" t="s">
        <v>233</v>
      </c>
      <c r="B29" s="135" t="s">
        <v>37</v>
      </c>
      <c r="C29" s="269" t="s">
        <v>0</v>
      </c>
      <c r="D29" s="269"/>
      <c r="E29" s="150">
        <f>4.5*2.6</f>
        <v>11.700000000000001</v>
      </c>
      <c r="F29" s="151">
        <v>0</v>
      </c>
      <c r="G29" s="123">
        <f t="shared" si="2"/>
        <v>0</v>
      </c>
    </row>
    <row r="30" spans="1:7" ht="120.75" x14ac:dyDescent="0.25">
      <c r="A30" s="273" t="s">
        <v>234</v>
      </c>
      <c r="B30" s="135" t="s">
        <v>35</v>
      </c>
      <c r="C30" s="269" t="s">
        <v>0</v>
      </c>
      <c r="D30" s="270"/>
      <c r="E30" s="150">
        <v>296.55</v>
      </c>
      <c r="F30" s="203">
        <v>0</v>
      </c>
      <c r="G30" s="123">
        <f>SUM(F30*E30)</f>
        <v>0</v>
      </c>
    </row>
    <row r="31" spans="1:7" ht="97.5" thickBot="1" x14ac:dyDescent="0.3">
      <c r="A31" s="273" t="s">
        <v>235</v>
      </c>
      <c r="B31" s="142" t="s">
        <v>36</v>
      </c>
      <c r="C31" s="288" t="s">
        <v>0</v>
      </c>
      <c r="D31" s="289"/>
      <c r="E31" s="196">
        <f>E30*1.04</f>
        <v>308.41200000000003</v>
      </c>
      <c r="F31" s="197">
        <v>0</v>
      </c>
      <c r="G31" s="198">
        <f>SUM(F31*E31)</f>
        <v>0</v>
      </c>
    </row>
    <row r="32" spans="1:7" s="8" customFormat="1" ht="181.5" thickTop="1" x14ac:dyDescent="0.25">
      <c r="A32" s="257" t="s">
        <v>213</v>
      </c>
      <c r="B32" s="258" t="s">
        <v>610</v>
      </c>
      <c r="C32" s="249" t="s">
        <v>80</v>
      </c>
      <c r="D32" s="249"/>
      <c r="E32" s="215">
        <v>1</v>
      </c>
      <c r="F32" s="216">
        <v>0</v>
      </c>
      <c r="G32" s="217">
        <f t="shared" ref="G32" si="3">SUM(F32*E32)</f>
        <v>0</v>
      </c>
    </row>
    <row r="33" spans="1:20" s="8" customFormat="1" ht="38.25" x14ac:dyDescent="0.25">
      <c r="A33" s="259"/>
      <c r="B33" s="139" t="s">
        <v>557</v>
      </c>
      <c r="C33" s="260" t="s">
        <v>95</v>
      </c>
      <c r="D33" s="260"/>
      <c r="E33" s="261">
        <v>5</v>
      </c>
      <c r="F33" s="262">
        <v>0</v>
      </c>
      <c r="G33" s="263"/>
      <c r="I33" s="222"/>
      <c r="J33" s="222"/>
      <c r="K33" s="222"/>
      <c r="L33" s="222"/>
      <c r="M33" s="222"/>
      <c r="N33" s="222"/>
      <c r="O33" s="222"/>
      <c r="P33" s="222"/>
      <c r="Q33" s="222"/>
      <c r="R33" s="222"/>
      <c r="S33" s="7"/>
      <c r="T33" s="7"/>
    </row>
    <row r="34" spans="1:20" s="8" customFormat="1" ht="114.75" x14ac:dyDescent="0.25">
      <c r="A34" s="259"/>
      <c r="B34" s="140" t="s">
        <v>503</v>
      </c>
      <c r="C34" s="260" t="s">
        <v>95</v>
      </c>
      <c r="D34" s="260"/>
      <c r="E34" s="261">
        <v>14</v>
      </c>
      <c r="F34" s="262">
        <v>0</v>
      </c>
      <c r="G34" s="263"/>
      <c r="I34" s="222"/>
      <c r="J34" s="222"/>
      <c r="K34" s="222"/>
      <c r="L34" s="222"/>
      <c r="M34" s="222"/>
      <c r="N34" s="222"/>
      <c r="O34" s="222"/>
      <c r="P34" s="222"/>
      <c r="Q34" s="222"/>
      <c r="R34" s="222"/>
      <c r="S34" s="7"/>
      <c r="T34" s="7"/>
    </row>
    <row r="35" spans="1:20" s="8" customFormat="1" ht="114.75" x14ac:dyDescent="0.25">
      <c r="A35" s="259"/>
      <c r="B35" s="140" t="s">
        <v>504</v>
      </c>
      <c r="C35" s="260" t="s">
        <v>95</v>
      </c>
      <c r="D35" s="260"/>
      <c r="E35" s="261">
        <v>17</v>
      </c>
      <c r="F35" s="262">
        <v>0</v>
      </c>
      <c r="G35" s="263"/>
      <c r="I35" s="222"/>
      <c r="J35" s="222"/>
      <c r="K35" s="222"/>
      <c r="L35" s="222"/>
      <c r="M35" s="222"/>
      <c r="N35" s="222"/>
      <c r="O35" s="222"/>
      <c r="P35" s="222"/>
      <c r="Q35" s="222"/>
      <c r="R35" s="222"/>
      <c r="S35" s="7"/>
      <c r="T35" s="7"/>
    </row>
    <row r="36" spans="1:20" s="8" customFormat="1" ht="114.75" x14ac:dyDescent="0.25">
      <c r="A36" s="259"/>
      <c r="B36" s="140" t="s">
        <v>558</v>
      </c>
      <c r="C36" s="260" t="s">
        <v>95</v>
      </c>
      <c r="D36" s="260"/>
      <c r="E36" s="261">
        <v>12</v>
      </c>
      <c r="F36" s="262">
        <v>0</v>
      </c>
      <c r="G36" s="263"/>
      <c r="I36" s="222"/>
      <c r="J36" s="222"/>
      <c r="K36" s="222"/>
      <c r="L36" s="222"/>
      <c r="M36" s="222"/>
      <c r="N36" s="222"/>
      <c r="O36" s="222"/>
      <c r="P36" s="222"/>
      <c r="Q36" s="222"/>
      <c r="R36" s="222"/>
      <c r="S36" s="7"/>
      <c r="T36" s="7"/>
    </row>
    <row r="37" spans="1:20" s="8" customFormat="1" ht="51" x14ac:dyDescent="0.25">
      <c r="A37" s="259"/>
      <c r="B37" s="139" t="s">
        <v>511</v>
      </c>
      <c r="C37" s="260" t="s">
        <v>95</v>
      </c>
      <c r="D37" s="260"/>
      <c r="E37" s="261">
        <v>14</v>
      </c>
      <c r="F37" s="262">
        <v>0</v>
      </c>
      <c r="G37" s="263"/>
      <c r="I37" s="222"/>
      <c r="J37" s="222"/>
      <c r="K37" s="222"/>
      <c r="L37" s="222"/>
      <c r="M37" s="222"/>
      <c r="N37" s="222"/>
      <c r="O37" s="222"/>
      <c r="P37" s="222"/>
      <c r="Q37" s="222"/>
      <c r="R37" s="222"/>
      <c r="S37" s="7"/>
      <c r="T37" s="7"/>
    </row>
    <row r="38" spans="1:20" s="8" customFormat="1" ht="51" x14ac:dyDescent="0.25">
      <c r="A38" s="259"/>
      <c r="B38" s="139" t="s">
        <v>512</v>
      </c>
      <c r="C38" s="260" t="s">
        <v>95</v>
      </c>
      <c r="D38" s="260"/>
      <c r="E38" s="261">
        <v>0</v>
      </c>
      <c r="F38" s="262">
        <v>0</v>
      </c>
      <c r="G38" s="263"/>
      <c r="I38" s="222"/>
      <c r="J38" s="222"/>
      <c r="K38" s="222"/>
      <c r="L38" s="222"/>
      <c r="M38" s="222"/>
      <c r="N38" s="222"/>
      <c r="O38" s="222"/>
      <c r="P38" s="222"/>
      <c r="Q38" s="222"/>
      <c r="R38" s="222"/>
      <c r="S38" s="7"/>
      <c r="T38" s="7"/>
    </row>
    <row r="39" spans="1:20" s="8" customFormat="1" ht="51" x14ac:dyDescent="0.25">
      <c r="A39" s="259"/>
      <c r="B39" s="139" t="s">
        <v>513</v>
      </c>
      <c r="C39" s="260" t="s">
        <v>95</v>
      </c>
      <c r="D39" s="260"/>
      <c r="E39" s="261">
        <v>0</v>
      </c>
      <c r="F39" s="262">
        <v>0</v>
      </c>
      <c r="G39" s="263"/>
      <c r="I39" s="222"/>
      <c r="J39" s="222"/>
      <c r="K39" s="222"/>
      <c r="L39" s="222"/>
      <c r="M39" s="222"/>
      <c r="N39" s="222"/>
      <c r="O39" s="222"/>
      <c r="P39" s="222"/>
      <c r="Q39" s="222"/>
      <c r="R39" s="222"/>
      <c r="S39" s="7"/>
      <c r="T39" s="7"/>
    </row>
    <row r="40" spans="1:20" s="8" customFormat="1" ht="51" x14ac:dyDescent="0.25">
      <c r="A40" s="259"/>
      <c r="B40" s="139" t="s">
        <v>514</v>
      </c>
      <c r="C40" s="260" t="s">
        <v>95</v>
      </c>
      <c r="D40" s="260"/>
      <c r="E40" s="261">
        <v>2</v>
      </c>
      <c r="F40" s="262">
        <v>0</v>
      </c>
      <c r="G40" s="263"/>
      <c r="I40" s="222"/>
      <c r="J40" s="222"/>
      <c r="K40" s="222"/>
      <c r="L40" s="222"/>
      <c r="M40" s="222"/>
      <c r="N40" s="222"/>
      <c r="O40" s="222"/>
      <c r="P40" s="222"/>
      <c r="Q40" s="222"/>
      <c r="R40" s="222"/>
      <c r="S40" s="7"/>
      <c r="T40" s="7"/>
    </row>
    <row r="41" spans="1:20" s="8" customFormat="1" ht="25.5" x14ac:dyDescent="0.25">
      <c r="A41" s="259"/>
      <c r="B41" s="140" t="s">
        <v>505</v>
      </c>
      <c r="C41" s="260" t="s">
        <v>95</v>
      </c>
      <c r="D41" s="260"/>
      <c r="E41" s="261">
        <v>12</v>
      </c>
      <c r="F41" s="262">
        <v>0</v>
      </c>
      <c r="G41" s="263"/>
      <c r="I41" s="222"/>
      <c r="J41" s="222"/>
      <c r="K41" s="222"/>
      <c r="L41" s="222"/>
      <c r="M41" s="222"/>
      <c r="N41" s="222"/>
      <c r="O41" s="222"/>
      <c r="P41" s="222"/>
      <c r="Q41" s="222"/>
      <c r="R41" s="222"/>
      <c r="S41" s="7"/>
      <c r="T41" s="7"/>
    </row>
    <row r="42" spans="1:20" s="8" customFormat="1" ht="25.5" x14ac:dyDescent="0.25">
      <c r="A42" s="259"/>
      <c r="B42" s="140" t="s">
        <v>545</v>
      </c>
      <c r="C42" s="260" t="s">
        <v>95</v>
      </c>
      <c r="D42" s="260"/>
      <c r="E42" s="261">
        <v>5</v>
      </c>
      <c r="F42" s="262">
        <v>0</v>
      </c>
      <c r="G42" s="263"/>
      <c r="I42" s="222"/>
      <c r="J42" s="222"/>
      <c r="K42" s="222"/>
      <c r="L42" s="222"/>
      <c r="M42" s="222"/>
      <c r="N42" s="222"/>
      <c r="O42" s="222"/>
      <c r="P42" s="222"/>
      <c r="Q42" s="222"/>
      <c r="R42" s="222"/>
      <c r="S42" s="7"/>
      <c r="T42" s="7"/>
    </row>
    <row r="43" spans="1:20" s="8" customFormat="1" ht="25.5" x14ac:dyDescent="0.25">
      <c r="A43" s="259"/>
      <c r="B43" s="140" t="s">
        <v>507</v>
      </c>
      <c r="C43" s="260" t="s">
        <v>95</v>
      </c>
      <c r="D43" s="260"/>
      <c r="E43" s="261">
        <v>3</v>
      </c>
      <c r="F43" s="262">
        <v>0</v>
      </c>
      <c r="G43" s="263"/>
      <c r="I43" s="222"/>
      <c r="J43" s="222"/>
      <c r="K43" s="222"/>
      <c r="L43" s="222"/>
      <c r="M43" s="222"/>
      <c r="N43" s="222"/>
      <c r="O43" s="222"/>
      <c r="P43" s="222"/>
      <c r="Q43" s="222"/>
      <c r="R43" s="222"/>
      <c r="S43" s="7"/>
      <c r="T43" s="7"/>
    </row>
    <row r="44" spans="1:20" s="8" customFormat="1" ht="25.5" x14ac:dyDescent="0.25">
      <c r="A44" s="259"/>
      <c r="B44" s="140" t="s">
        <v>508</v>
      </c>
      <c r="C44" s="260" t="s">
        <v>95</v>
      </c>
      <c r="D44" s="260"/>
      <c r="E44" s="261">
        <v>1</v>
      </c>
      <c r="F44" s="262">
        <v>0</v>
      </c>
      <c r="G44" s="263"/>
      <c r="I44" s="222"/>
      <c r="J44" s="222"/>
      <c r="K44" s="222"/>
      <c r="L44" s="222"/>
      <c r="M44" s="222"/>
      <c r="N44" s="222"/>
      <c r="O44" s="222"/>
      <c r="P44" s="222"/>
      <c r="Q44" s="222"/>
      <c r="R44" s="222"/>
      <c r="S44" s="7"/>
      <c r="T44" s="7"/>
    </row>
    <row r="45" spans="1:20" s="7" customFormat="1" ht="51" x14ac:dyDescent="0.25">
      <c r="A45" s="259"/>
      <c r="B45" s="140" t="s">
        <v>539</v>
      </c>
      <c r="C45" s="260" t="s">
        <v>80</v>
      </c>
      <c r="D45" s="260"/>
      <c r="E45" s="261">
        <v>1</v>
      </c>
      <c r="F45" s="262">
        <v>0</v>
      </c>
      <c r="G45" s="263"/>
      <c r="I45" s="222"/>
      <c r="J45" s="222"/>
      <c r="K45" s="222"/>
      <c r="L45" s="222"/>
      <c r="M45" s="222"/>
      <c r="N45" s="222"/>
      <c r="O45" s="222"/>
      <c r="P45" s="222"/>
      <c r="Q45" s="222"/>
      <c r="R45" s="222"/>
    </row>
    <row r="46" spans="1:20" s="7" customFormat="1" ht="76.5" x14ac:dyDescent="0.25">
      <c r="A46" s="259"/>
      <c r="B46" s="140" t="s">
        <v>542</v>
      </c>
      <c r="C46" s="260" t="s">
        <v>80</v>
      </c>
      <c r="D46" s="260"/>
      <c r="E46" s="261">
        <v>1</v>
      </c>
      <c r="F46" s="262">
        <v>0</v>
      </c>
      <c r="G46" s="263"/>
      <c r="I46" s="222"/>
      <c r="J46" s="222"/>
      <c r="K46" s="222"/>
      <c r="L46" s="222"/>
      <c r="M46" s="222"/>
      <c r="N46" s="222"/>
      <c r="O46" s="222"/>
      <c r="P46" s="222"/>
      <c r="Q46" s="222"/>
      <c r="R46" s="222"/>
    </row>
    <row r="47" spans="1:20" s="7" customFormat="1" ht="63.75" x14ac:dyDescent="0.25">
      <c r="A47" s="259"/>
      <c r="B47" s="139" t="s">
        <v>541</v>
      </c>
      <c r="C47" s="260" t="s">
        <v>95</v>
      </c>
      <c r="D47" s="260"/>
      <c r="E47" s="261">
        <v>1</v>
      </c>
      <c r="F47" s="262">
        <v>0</v>
      </c>
      <c r="G47" s="263"/>
      <c r="I47" s="222"/>
      <c r="J47" s="222"/>
      <c r="K47" s="222"/>
      <c r="L47" s="222"/>
      <c r="M47" s="222"/>
      <c r="N47" s="222"/>
      <c r="O47" s="222"/>
      <c r="P47" s="222"/>
      <c r="Q47" s="222"/>
      <c r="R47" s="222"/>
    </row>
    <row r="48" spans="1:20" s="7" customFormat="1" ht="16.5" x14ac:dyDescent="0.25">
      <c r="A48" s="259"/>
      <c r="B48" s="140" t="s">
        <v>506</v>
      </c>
      <c r="C48" s="260" t="s">
        <v>80</v>
      </c>
      <c r="D48" s="260"/>
      <c r="E48" s="261">
        <v>1</v>
      </c>
      <c r="F48" s="262">
        <v>0</v>
      </c>
      <c r="G48" s="263"/>
      <c r="I48" s="222"/>
      <c r="J48" s="222"/>
      <c r="K48" s="222"/>
      <c r="L48" s="222"/>
      <c r="M48" s="222"/>
      <c r="N48" s="222"/>
      <c r="O48" s="222"/>
      <c r="P48" s="222"/>
      <c r="Q48" s="222"/>
      <c r="R48" s="222"/>
    </row>
    <row r="49" spans="1:20" s="7" customFormat="1" ht="64.5" thickBot="1" x14ac:dyDescent="0.3">
      <c r="A49" s="259"/>
      <c r="B49" s="140" t="s">
        <v>515</v>
      </c>
      <c r="C49" s="260" t="s">
        <v>80</v>
      </c>
      <c r="D49" s="260"/>
      <c r="E49" s="261">
        <v>1</v>
      </c>
      <c r="F49" s="262">
        <v>0</v>
      </c>
      <c r="G49" s="263"/>
      <c r="I49" s="222"/>
      <c r="J49" s="222"/>
      <c r="K49" s="222"/>
      <c r="L49" s="222"/>
      <c r="M49" s="222"/>
      <c r="N49" s="222"/>
      <c r="O49" s="222"/>
      <c r="P49" s="222"/>
      <c r="Q49" s="222"/>
      <c r="R49" s="222"/>
    </row>
    <row r="50" spans="1:20" s="146" customFormat="1" ht="301.5" thickTop="1" x14ac:dyDescent="0.25">
      <c r="A50" s="267" t="s">
        <v>470</v>
      </c>
      <c r="B50" s="258" t="s">
        <v>611</v>
      </c>
      <c r="C50" s="249" t="s">
        <v>80</v>
      </c>
      <c r="D50" s="249"/>
      <c r="E50" s="215">
        <v>1</v>
      </c>
      <c r="F50" s="216">
        <v>0</v>
      </c>
      <c r="G50" s="217">
        <f>SUM(F50*E50)</f>
        <v>0</v>
      </c>
    </row>
    <row r="51" spans="1:20" s="7" customFormat="1" ht="16.5" x14ac:dyDescent="0.25">
      <c r="A51" s="259"/>
      <c r="B51" s="226" t="s">
        <v>531</v>
      </c>
      <c r="C51" s="260"/>
      <c r="D51" s="260"/>
      <c r="E51" s="261"/>
      <c r="F51" s="262"/>
      <c r="G51" s="263"/>
    </row>
    <row r="52" spans="1:20" s="8" customFormat="1" ht="63.75" x14ac:dyDescent="0.25">
      <c r="A52" s="259"/>
      <c r="B52" s="139" t="s">
        <v>530</v>
      </c>
      <c r="C52" s="260" t="s">
        <v>516</v>
      </c>
      <c r="D52" s="260"/>
      <c r="E52" s="261">
        <v>50</v>
      </c>
      <c r="F52" s="262">
        <v>0</v>
      </c>
      <c r="G52" s="263">
        <f t="shared" ref="G52:G54" si="4">E52*F52</f>
        <v>0</v>
      </c>
      <c r="I52" s="7"/>
      <c r="J52" s="7"/>
      <c r="K52" s="7"/>
      <c r="L52" s="7"/>
      <c r="M52" s="7"/>
      <c r="N52" s="7"/>
      <c r="O52" s="7"/>
      <c r="P52" s="7"/>
      <c r="Q52" s="7"/>
      <c r="R52" s="7"/>
      <c r="S52" s="7"/>
      <c r="T52" s="7"/>
    </row>
    <row r="53" spans="1:20" s="8" customFormat="1" ht="38.25" x14ac:dyDescent="0.25">
      <c r="A53" s="259"/>
      <c r="B53" s="139" t="s">
        <v>527</v>
      </c>
      <c r="C53" s="260" t="s">
        <v>80</v>
      </c>
      <c r="D53" s="260"/>
      <c r="E53" s="261">
        <v>1</v>
      </c>
      <c r="F53" s="262">
        <v>0</v>
      </c>
      <c r="G53" s="263">
        <f t="shared" si="4"/>
        <v>0</v>
      </c>
      <c r="I53" s="7"/>
      <c r="J53" s="7"/>
      <c r="K53" s="7"/>
      <c r="L53" s="7"/>
      <c r="M53" s="7"/>
      <c r="N53" s="7"/>
      <c r="O53" s="7"/>
      <c r="P53" s="7"/>
      <c r="Q53" s="7"/>
      <c r="R53" s="7"/>
      <c r="S53" s="7"/>
      <c r="T53" s="7"/>
    </row>
    <row r="54" spans="1:20" s="8" customFormat="1" ht="16.5" x14ac:dyDescent="0.25">
      <c r="A54" s="259"/>
      <c r="B54" s="140" t="s">
        <v>526</v>
      </c>
      <c r="C54" s="260" t="s">
        <v>80</v>
      </c>
      <c r="D54" s="260"/>
      <c r="E54" s="261">
        <v>1</v>
      </c>
      <c r="F54" s="262">
        <v>0</v>
      </c>
      <c r="G54" s="263">
        <f t="shared" si="4"/>
        <v>0</v>
      </c>
      <c r="I54" s="7"/>
      <c r="J54" s="7"/>
      <c r="K54" s="7"/>
      <c r="L54" s="7"/>
      <c r="M54" s="7"/>
      <c r="N54" s="7"/>
      <c r="O54" s="7"/>
      <c r="P54" s="7"/>
      <c r="Q54" s="7"/>
      <c r="R54" s="7"/>
      <c r="S54" s="7"/>
      <c r="T54" s="7"/>
    </row>
    <row r="55" spans="1:20" s="7" customFormat="1" ht="16.5" x14ac:dyDescent="0.25">
      <c r="A55" s="259"/>
      <c r="B55" s="226" t="s">
        <v>517</v>
      </c>
      <c r="C55" s="260"/>
      <c r="D55" s="260"/>
      <c r="E55" s="261"/>
      <c r="F55" s="262"/>
      <c r="G55" s="263"/>
    </row>
    <row r="56" spans="1:20" s="7" customFormat="1" ht="25.5" x14ac:dyDescent="0.25">
      <c r="A56" s="259"/>
      <c r="B56" s="140" t="s">
        <v>528</v>
      </c>
      <c r="C56" s="260" t="s">
        <v>95</v>
      </c>
      <c r="D56" s="260"/>
      <c r="E56" s="261">
        <v>4</v>
      </c>
      <c r="F56" s="262">
        <v>0</v>
      </c>
      <c r="G56" s="263">
        <f t="shared" ref="G56:G62" si="5">E56*F56</f>
        <v>0</v>
      </c>
    </row>
    <row r="57" spans="1:20" s="7" customFormat="1" ht="25.5" x14ac:dyDescent="0.25">
      <c r="A57" s="259"/>
      <c r="B57" s="140" t="s">
        <v>550</v>
      </c>
      <c r="C57" s="260" t="s">
        <v>95</v>
      </c>
      <c r="D57" s="260"/>
      <c r="E57" s="261">
        <v>2</v>
      </c>
      <c r="F57" s="262">
        <v>0</v>
      </c>
      <c r="G57" s="263">
        <f t="shared" si="5"/>
        <v>0</v>
      </c>
    </row>
    <row r="58" spans="1:20" s="8" customFormat="1" ht="25.5" x14ac:dyDescent="0.25">
      <c r="A58" s="268"/>
      <c r="B58" s="139" t="s">
        <v>529</v>
      </c>
      <c r="C58" s="260" t="s">
        <v>95</v>
      </c>
      <c r="D58" s="260"/>
      <c r="E58" s="261">
        <v>5</v>
      </c>
      <c r="F58" s="262">
        <v>0</v>
      </c>
      <c r="G58" s="263">
        <f t="shared" si="5"/>
        <v>0</v>
      </c>
    </row>
    <row r="59" spans="1:20" s="8" customFormat="1" ht="38.25" x14ac:dyDescent="0.25">
      <c r="A59" s="268"/>
      <c r="B59" s="139" t="s">
        <v>524</v>
      </c>
      <c r="C59" s="260" t="s">
        <v>95</v>
      </c>
      <c r="D59" s="260"/>
      <c r="E59" s="261">
        <v>7</v>
      </c>
      <c r="F59" s="262">
        <v>0</v>
      </c>
      <c r="G59" s="263">
        <f t="shared" si="5"/>
        <v>0</v>
      </c>
    </row>
    <row r="60" spans="1:20" s="8" customFormat="1" ht="25.5" x14ac:dyDescent="0.25">
      <c r="A60" s="268"/>
      <c r="B60" s="139" t="s">
        <v>521</v>
      </c>
      <c r="C60" s="260" t="s">
        <v>95</v>
      </c>
      <c r="D60" s="260"/>
      <c r="E60" s="261">
        <v>5</v>
      </c>
      <c r="F60" s="262">
        <v>0</v>
      </c>
      <c r="G60" s="263">
        <f t="shared" si="5"/>
        <v>0</v>
      </c>
    </row>
    <row r="61" spans="1:20" s="8" customFormat="1" ht="51" x14ac:dyDescent="0.25">
      <c r="A61" s="268"/>
      <c r="B61" s="139" t="s">
        <v>525</v>
      </c>
      <c r="C61" s="260" t="s">
        <v>95</v>
      </c>
      <c r="D61" s="260"/>
      <c r="E61" s="261">
        <v>1</v>
      </c>
      <c r="F61" s="262">
        <v>0</v>
      </c>
      <c r="G61" s="263">
        <f t="shared" si="5"/>
        <v>0</v>
      </c>
    </row>
    <row r="62" spans="1:20" s="8" customFormat="1" ht="76.5" x14ac:dyDescent="0.25">
      <c r="A62" s="268"/>
      <c r="B62" s="139" t="s">
        <v>538</v>
      </c>
      <c r="C62" s="260" t="s">
        <v>95</v>
      </c>
      <c r="D62" s="260"/>
      <c r="E62" s="261">
        <v>4</v>
      </c>
      <c r="F62" s="262">
        <v>0</v>
      </c>
      <c r="G62" s="263">
        <f t="shared" si="5"/>
        <v>0</v>
      </c>
    </row>
    <row r="63" spans="1:20" s="8" customFormat="1" ht="16.5" x14ac:dyDescent="0.25">
      <c r="A63" s="268"/>
      <c r="B63" s="226" t="s">
        <v>518</v>
      </c>
      <c r="C63" s="260"/>
      <c r="D63" s="260"/>
      <c r="E63" s="261"/>
      <c r="F63" s="262"/>
      <c r="G63" s="263"/>
    </row>
    <row r="64" spans="1:20" s="8" customFormat="1" ht="51" x14ac:dyDescent="0.25">
      <c r="A64" s="268"/>
      <c r="B64" s="139" t="s">
        <v>532</v>
      </c>
      <c r="C64" s="260" t="s">
        <v>516</v>
      </c>
      <c r="D64" s="260"/>
      <c r="E64" s="261">
        <v>15</v>
      </c>
      <c r="F64" s="262">
        <v>0</v>
      </c>
      <c r="G64" s="263">
        <f t="shared" ref="G64:G68" si="6">E64*F64</f>
        <v>0</v>
      </c>
    </row>
    <row r="65" spans="1:18" s="8" customFormat="1" ht="51" x14ac:dyDescent="0.25">
      <c r="A65" s="268"/>
      <c r="B65" s="139" t="s">
        <v>533</v>
      </c>
      <c r="C65" s="260" t="s">
        <v>516</v>
      </c>
      <c r="D65" s="260"/>
      <c r="E65" s="261">
        <v>10</v>
      </c>
      <c r="F65" s="262">
        <v>0</v>
      </c>
      <c r="G65" s="263">
        <f t="shared" si="6"/>
        <v>0</v>
      </c>
    </row>
    <row r="66" spans="1:18" s="8" customFormat="1" ht="51" x14ac:dyDescent="0.25">
      <c r="A66" s="268"/>
      <c r="B66" s="139" t="s">
        <v>534</v>
      </c>
      <c r="C66" s="260" t="s">
        <v>516</v>
      </c>
      <c r="D66" s="260"/>
      <c r="E66" s="261">
        <v>15</v>
      </c>
      <c r="F66" s="262">
        <v>0</v>
      </c>
      <c r="G66" s="263">
        <f t="shared" si="6"/>
        <v>0</v>
      </c>
    </row>
    <row r="67" spans="1:18" s="8" customFormat="1" ht="38.25" x14ac:dyDescent="0.25">
      <c r="A67" s="268"/>
      <c r="B67" s="139" t="s">
        <v>527</v>
      </c>
      <c r="C67" s="260" t="s">
        <v>80</v>
      </c>
      <c r="D67" s="260"/>
      <c r="E67" s="261">
        <v>1</v>
      </c>
      <c r="F67" s="262">
        <v>0</v>
      </c>
      <c r="G67" s="263">
        <f t="shared" si="6"/>
        <v>0</v>
      </c>
    </row>
    <row r="68" spans="1:18" s="8" customFormat="1" ht="16.5" x14ac:dyDescent="0.25">
      <c r="A68" s="268"/>
      <c r="B68" s="140" t="s">
        <v>526</v>
      </c>
      <c r="C68" s="260" t="s">
        <v>80</v>
      </c>
      <c r="D68" s="260"/>
      <c r="E68" s="261">
        <v>1</v>
      </c>
      <c r="F68" s="262">
        <v>0</v>
      </c>
      <c r="G68" s="263">
        <f t="shared" si="6"/>
        <v>0</v>
      </c>
    </row>
    <row r="69" spans="1:18" s="8" customFormat="1" ht="16.5" x14ac:dyDescent="0.25">
      <c r="A69" s="268"/>
      <c r="B69" s="226" t="s">
        <v>519</v>
      </c>
      <c r="C69" s="260"/>
      <c r="D69" s="260"/>
      <c r="E69" s="261"/>
      <c r="F69" s="262"/>
      <c r="G69" s="263"/>
    </row>
    <row r="70" spans="1:18" s="8" customFormat="1" ht="38.25" x14ac:dyDescent="0.25">
      <c r="A70" s="268"/>
      <c r="B70" s="139" t="s">
        <v>540</v>
      </c>
      <c r="C70" s="260" t="s">
        <v>516</v>
      </c>
      <c r="D70" s="260"/>
      <c r="E70" s="261">
        <f>14*4+22.5*2+13*2</f>
        <v>127</v>
      </c>
      <c r="F70" s="262">
        <v>0</v>
      </c>
      <c r="G70" s="263">
        <f t="shared" ref="G70:G74" si="7">E70*F70</f>
        <v>0</v>
      </c>
    </row>
    <row r="71" spans="1:18" s="8" customFormat="1" ht="38.25" x14ac:dyDescent="0.25">
      <c r="A71" s="268"/>
      <c r="B71" s="139" t="s">
        <v>527</v>
      </c>
      <c r="C71" s="260" t="s">
        <v>80</v>
      </c>
      <c r="D71" s="260"/>
      <c r="E71" s="261">
        <v>1</v>
      </c>
      <c r="F71" s="262">
        <v>0</v>
      </c>
      <c r="G71" s="263">
        <f t="shared" si="7"/>
        <v>0</v>
      </c>
    </row>
    <row r="72" spans="1:18" s="8" customFormat="1" ht="16.5" x14ac:dyDescent="0.25">
      <c r="A72" s="268"/>
      <c r="B72" s="139" t="s">
        <v>520</v>
      </c>
      <c r="C72" s="260" t="s">
        <v>95</v>
      </c>
      <c r="D72" s="260"/>
      <c r="E72" s="261">
        <f>14*3</f>
        <v>42</v>
      </c>
      <c r="F72" s="262">
        <v>0</v>
      </c>
      <c r="G72" s="263">
        <f t="shared" si="7"/>
        <v>0</v>
      </c>
    </row>
    <row r="73" spans="1:18" s="8" customFormat="1" ht="16.5" x14ac:dyDescent="0.25">
      <c r="A73" s="268"/>
      <c r="B73" s="139" t="s">
        <v>535</v>
      </c>
      <c r="C73" s="260" t="s">
        <v>95</v>
      </c>
      <c r="D73" s="260"/>
      <c r="E73" s="261">
        <f>22.5*2+13*2</f>
        <v>71</v>
      </c>
      <c r="F73" s="262">
        <v>0</v>
      </c>
      <c r="G73" s="263">
        <f t="shared" si="7"/>
        <v>0</v>
      </c>
    </row>
    <row r="74" spans="1:18" s="8" customFormat="1" ht="17.25" thickBot="1" x14ac:dyDescent="0.3">
      <c r="A74" s="268"/>
      <c r="B74" s="140" t="s">
        <v>526</v>
      </c>
      <c r="C74" s="260" t="s">
        <v>80</v>
      </c>
      <c r="D74" s="260"/>
      <c r="E74" s="261">
        <v>1</v>
      </c>
      <c r="F74" s="262">
        <v>0</v>
      </c>
      <c r="G74" s="263">
        <f t="shared" si="7"/>
        <v>0</v>
      </c>
    </row>
    <row r="75" spans="1:18" s="8" customFormat="1" ht="145.5" thickTop="1" x14ac:dyDescent="0.25">
      <c r="A75" s="257" t="s">
        <v>471</v>
      </c>
      <c r="B75" s="258" t="s">
        <v>612</v>
      </c>
      <c r="C75" s="249" t="s">
        <v>80</v>
      </c>
      <c r="D75" s="249"/>
      <c r="E75" s="215">
        <v>1</v>
      </c>
      <c r="F75" s="216">
        <v>0</v>
      </c>
      <c r="G75" s="217">
        <f>SUM(F75*E75)</f>
        <v>0</v>
      </c>
    </row>
    <row r="76" spans="1:18" s="7" customFormat="1" ht="63.75" x14ac:dyDescent="0.25">
      <c r="A76" s="259"/>
      <c r="B76" s="140" t="s">
        <v>543</v>
      </c>
      <c r="C76" s="260" t="s">
        <v>80</v>
      </c>
      <c r="D76" s="260"/>
      <c r="E76" s="261">
        <v>1</v>
      </c>
      <c r="F76" s="262">
        <v>0</v>
      </c>
      <c r="G76" s="263">
        <f t="shared" ref="G76:G81" si="8">E76*F76</f>
        <v>0</v>
      </c>
      <c r="I76" s="222"/>
      <c r="J76" s="222"/>
      <c r="K76" s="222"/>
      <c r="L76" s="222"/>
      <c r="M76" s="222"/>
      <c r="N76" s="222"/>
      <c r="O76" s="222"/>
      <c r="P76" s="222"/>
      <c r="Q76" s="222"/>
      <c r="R76" s="222"/>
    </row>
    <row r="77" spans="1:18" s="7" customFormat="1" ht="63.75" x14ac:dyDescent="0.25">
      <c r="A77" s="259"/>
      <c r="B77" s="140" t="s">
        <v>544</v>
      </c>
      <c r="C77" s="260" t="s">
        <v>80</v>
      </c>
      <c r="D77" s="260"/>
      <c r="E77" s="261">
        <v>1</v>
      </c>
      <c r="F77" s="262">
        <v>0</v>
      </c>
      <c r="G77" s="263">
        <f t="shared" si="8"/>
        <v>0</v>
      </c>
      <c r="I77" s="222"/>
      <c r="J77" s="222"/>
      <c r="K77" s="222"/>
      <c r="L77" s="222"/>
      <c r="M77" s="222"/>
      <c r="N77" s="222"/>
      <c r="O77" s="222"/>
      <c r="P77" s="222"/>
      <c r="Q77" s="222"/>
      <c r="R77" s="222"/>
    </row>
    <row r="78" spans="1:18" s="146" customFormat="1" ht="51" x14ac:dyDescent="0.25">
      <c r="A78" s="273"/>
      <c r="B78" s="140" t="s">
        <v>536</v>
      </c>
      <c r="C78" s="260" t="s">
        <v>95</v>
      </c>
      <c r="D78" s="260"/>
      <c r="E78" s="261">
        <v>1</v>
      </c>
      <c r="F78" s="262">
        <v>0</v>
      </c>
      <c r="G78" s="263">
        <f t="shared" si="8"/>
        <v>0</v>
      </c>
    </row>
    <row r="79" spans="1:18" s="146" customFormat="1" ht="38.25" x14ac:dyDescent="0.25">
      <c r="A79" s="257"/>
      <c r="B79" s="274" t="s">
        <v>537</v>
      </c>
      <c r="C79" s="275" t="s">
        <v>95</v>
      </c>
      <c r="D79" s="275"/>
      <c r="E79" s="276">
        <v>6</v>
      </c>
      <c r="F79" s="262">
        <v>0</v>
      </c>
      <c r="G79" s="263">
        <f t="shared" si="8"/>
        <v>0</v>
      </c>
    </row>
    <row r="80" spans="1:18" s="146" customFormat="1" ht="63.75" x14ac:dyDescent="0.25">
      <c r="A80" s="257"/>
      <c r="B80" s="274" t="s">
        <v>553</v>
      </c>
      <c r="C80" s="275" t="s">
        <v>95</v>
      </c>
      <c r="D80" s="275"/>
      <c r="E80" s="276">
        <v>2</v>
      </c>
      <c r="F80" s="262">
        <v>0</v>
      </c>
      <c r="G80" s="263">
        <f t="shared" si="8"/>
        <v>0</v>
      </c>
    </row>
    <row r="81" spans="1:7" s="146" customFormat="1" ht="17.25" thickBot="1" x14ac:dyDescent="0.3">
      <c r="A81" s="257"/>
      <c r="B81" s="277" t="s">
        <v>526</v>
      </c>
      <c r="C81" s="278" t="s">
        <v>80</v>
      </c>
      <c r="D81" s="278"/>
      <c r="E81" s="279">
        <v>1</v>
      </c>
      <c r="F81" s="280">
        <v>0</v>
      </c>
      <c r="G81" s="281">
        <f t="shared" si="8"/>
        <v>0</v>
      </c>
    </row>
    <row r="82" spans="1:7" ht="15.75" thickTop="1" x14ac:dyDescent="0.25">
      <c r="A82" s="273" t="s">
        <v>467</v>
      </c>
      <c r="B82" s="227" t="s">
        <v>438</v>
      </c>
      <c r="C82" s="249"/>
      <c r="D82" s="249"/>
      <c r="E82" s="250"/>
      <c r="F82" s="295"/>
      <c r="G82" s="291"/>
    </row>
    <row r="83" spans="1:7" x14ac:dyDescent="0.25">
      <c r="A83" s="273" t="s">
        <v>468</v>
      </c>
      <c r="B83" s="290" t="s">
        <v>14</v>
      </c>
      <c r="C83" s="164" t="s">
        <v>12</v>
      </c>
      <c r="D83" s="164"/>
      <c r="E83" s="292">
        <v>1</v>
      </c>
      <c r="F83" s="293">
        <v>0</v>
      </c>
      <c r="G83" s="294">
        <f>E83*F83</f>
        <v>0</v>
      </c>
    </row>
    <row r="84" spans="1:7" ht="15.75" thickBot="1" x14ac:dyDescent="0.3">
      <c r="A84" s="189" t="s">
        <v>469</v>
      </c>
      <c r="B84" s="58" t="s">
        <v>13</v>
      </c>
      <c r="C84" s="204" t="s">
        <v>12</v>
      </c>
      <c r="D84" s="204"/>
      <c r="E84" s="205">
        <v>5</v>
      </c>
      <c r="F84" s="206">
        <v>0</v>
      </c>
      <c r="G84" s="207">
        <f>E84*F84</f>
        <v>0</v>
      </c>
    </row>
    <row r="85" spans="1:7" ht="16.5" thickTop="1" thickBot="1" x14ac:dyDescent="0.3">
      <c r="A85" s="186"/>
      <c r="B85" s="55"/>
      <c r="C85" s="56"/>
      <c r="D85" s="56"/>
      <c r="E85" s="101"/>
      <c r="F85" s="102"/>
      <c r="G85" s="103">
        <f>SUM(G11:G84)</f>
        <v>0</v>
      </c>
    </row>
    <row r="86" spans="1:7" ht="15.75" thickTop="1" x14ac:dyDescent="0.25"/>
  </sheetData>
  <mergeCells count="2">
    <mergeCell ref="A3:B3"/>
    <mergeCell ref="A1:G1"/>
  </mergeCells>
  <printOptions horizontalCentered="1"/>
  <pageMargins left="0.39370078740157483" right="0.39370078740157483" top="0.39370078740157483" bottom="0.59055118110236227" header="0.31496062992125984" footer="0.31496062992125984"/>
  <pageSetup paperSize="9" orientation="landscape" r:id="rId1"/>
  <headerFooter>
    <oddFooter>&amp;L&amp;8CONCEPTION ET ADAPTATION ARCHITECTURALE-STRUCTURALE DES PLAN TYPES DE CENTRES PUBLICS DE FORMATION PROFESSIONNELLE ET D’ETUDES TECHNIQUES EN VUE DE LA CONSTRUCTION DU CENTRE PROFESSIONNELLE DES CAYES</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92D050"/>
  </sheetPr>
  <dimension ref="A1:T99"/>
  <sheetViews>
    <sheetView zoomScaleNormal="100" workbookViewId="0">
      <selection activeCell="B11" sqref="B11"/>
    </sheetView>
  </sheetViews>
  <sheetFormatPr defaultColWidth="11.5703125" defaultRowHeight="15" x14ac:dyDescent="0.25"/>
  <cols>
    <col min="1" max="1" width="5.7109375" style="181" customWidth="1"/>
    <col min="2" max="2" width="85.42578125" style="22" customWidth="1"/>
    <col min="3" max="3" width="8.28515625" bestFit="1" customWidth="1"/>
    <col min="4" max="4" width="3.7109375" customWidth="1"/>
    <col min="5" max="5" width="10" style="92" customWidth="1"/>
    <col min="6" max="6" width="10" style="93" customWidth="1"/>
    <col min="7" max="7" width="15" style="92" customWidth="1"/>
    <col min="8" max="11" width="11.5703125" customWidth="1"/>
  </cols>
  <sheetData>
    <row r="1" spans="1:7" ht="33.950000000000003" customHeight="1" thickTop="1" thickBot="1" x14ac:dyDescent="0.3">
      <c r="A1" s="356" t="s">
        <v>67</v>
      </c>
      <c r="B1" s="357"/>
      <c r="C1" s="357"/>
      <c r="D1" s="357"/>
      <c r="E1" s="357"/>
      <c r="F1" s="357"/>
      <c r="G1" s="358"/>
    </row>
    <row r="2" spans="1:7" ht="16.5" thickTop="1" thickBot="1" x14ac:dyDescent="0.3">
      <c r="C2" s="1" t="s">
        <v>615</v>
      </c>
      <c r="D2" s="1"/>
      <c r="E2" s="92" t="s">
        <v>4</v>
      </c>
      <c r="F2" s="93" t="s">
        <v>5</v>
      </c>
      <c r="G2" s="92" t="s">
        <v>6</v>
      </c>
    </row>
    <row r="3" spans="1:7" ht="16.5" thickTop="1" thickBot="1" x14ac:dyDescent="0.3">
      <c r="A3" s="354" t="s">
        <v>15</v>
      </c>
      <c r="B3" s="355"/>
      <c r="C3" s="53">
        <f>294.34+(47.5*50%)</f>
        <v>318.08999999999997</v>
      </c>
      <c r="D3" s="54" t="s">
        <v>0</v>
      </c>
      <c r="E3" s="94"/>
      <c r="F3" s="95"/>
      <c r="G3" s="96">
        <f>G84/C3</f>
        <v>0</v>
      </c>
    </row>
    <row r="4" spans="1:7" ht="42" customHeight="1" thickTop="1" x14ac:dyDescent="0.25">
      <c r="A4" s="188" t="s">
        <v>236</v>
      </c>
      <c r="B4" s="297" t="s">
        <v>99</v>
      </c>
      <c r="C4" s="200" t="s">
        <v>2</v>
      </c>
      <c r="D4" s="201"/>
      <c r="E4" s="319">
        <v>653.63</v>
      </c>
      <c r="F4" s="192">
        <v>0</v>
      </c>
      <c r="G4" s="193">
        <f t="shared" ref="G4:G7" si="0">SUM(F4*E4)</f>
        <v>0</v>
      </c>
    </row>
    <row r="5" spans="1:7" ht="42" customHeight="1" x14ac:dyDescent="0.25">
      <c r="A5" s="189" t="s">
        <v>237</v>
      </c>
      <c r="B5" s="298" t="s">
        <v>490</v>
      </c>
      <c r="C5" s="116" t="s">
        <v>2</v>
      </c>
      <c r="D5" s="117"/>
      <c r="E5" s="299">
        <v>306.91000000000003</v>
      </c>
      <c r="F5" s="151">
        <v>0</v>
      </c>
      <c r="G5" s="123">
        <f t="shared" si="0"/>
        <v>0</v>
      </c>
    </row>
    <row r="6" spans="1:7" ht="42" customHeight="1" x14ac:dyDescent="0.25">
      <c r="A6" s="189" t="s">
        <v>238</v>
      </c>
      <c r="B6" s="298" t="s">
        <v>29</v>
      </c>
      <c r="C6" s="116" t="s">
        <v>2</v>
      </c>
      <c r="D6" s="117"/>
      <c r="E6" s="299">
        <v>19.600000000000001</v>
      </c>
      <c r="F6" s="151">
        <v>0</v>
      </c>
      <c r="G6" s="123">
        <f t="shared" si="0"/>
        <v>0</v>
      </c>
    </row>
    <row r="7" spans="1:7" ht="42" customHeight="1" x14ac:dyDescent="0.25">
      <c r="A7" s="273" t="s">
        <v>239</v>
      </c>
      <c r="B7" s="300" t="s">
        <v>620</v>
      </c>
      <c r="C7" s="269" t="s">
        <v>2</v>
      </c>
      <c r="D7" s="270"/>
      <c r="E7" s="299">
        <v>131.25</v>
      </c>
      <c r="F7" s="151">
        <v>0</v>
      </c>
      <c r="G7" s="123">
        <f t="shared" si="0"/>
        <v>0</v>
      </c>
    </row>
    <row r="8" spans="1:7" ht="30" customHeight="1" x14ac:dyDescent="0.25">
      <c r="A8" s="307"/>
      <c r="B8" s="301" t="s">
        <v>616</v>
      </c>
      <c r="C8" s="302" t="s">
        <v>2</v>
      </c>
      <c r="D8" s="303"/>
      <c r="E8" s="304">
        <v>29.77</v>
      </c>
      <c r="F8" s="305">
        <v>0</v>
      </c>
      <c r="G8" s="318"/>
    </row>
    <row r="9" spans="1:7" ht="30" customHeight="1" x14ac:dyDescent="0.25">
      <c r="A9" s="307"/>
      <c r="B9" s="301" t="s">
        <v>617</v>
      </c>
      <c r="C9" s="302" t="s">
        <v>2</v>
      </c>
      <c r="D9" s="303"/>
      <c r="E9" s="304">
        <v>73.040000000000006</v>
      </c>
      <c r="F9" s="305"/>
      <c r="G9" s="318"/>
    </row>
    <row r="10" spans="1:7" ht="30" customHeight="1" x14ac:dyDescent="0.25">
      <c r="A10" s="307"/>
      <c r="B10" s="301" t="s">
        <v>618</v>
      </c>
      <c r="C10" s="302" t="s">
        <v>2</v>
      </c>
      <c r="D10" s="303"/>
      <c r="E10" s="304">
        <v>12.89</v>
      </c>
      <c r="F10" s="305"/>
      <c r="G10" s="318"/>
    </row>
    <row r="11" spans="1:7" ht="96.75" x14ac:dyDescent="0.25">
      <c r="A11" s="273" t="s">
        <v>240</v>
      </c>
      <c r="B11" s="135" t="s">
        <v>79</v>
      </c>
      <c r="C11" s="269" t="s">
        <v>0</v>
      </c>
      <c r="D11" s="270"/>
      <c r="E11" s="150">
        <f>47.5</f>
        <v>47.5</v>
      </c>
      <c r="F11" s="151">
        <v>0</v>
      </c>
      <c r="G11" s="123">
        <f t="shared" ref="G11:G15" si="1">SUM(F11*E11)</f>
        <v>0</v>
      </c>
    </row>
    <row r="12" spans="1:7" ht="96.75" x14ac:dyDescent="0.25">
      <c r="A12" s="273" t="s">
        <v>241</v>
      </c>
      <c r="B12" s="135" t="s">
        <v>30</v>
      </c>
      <c r="C12" s="269" t="s">
        <v>2</v>
      </c>
      <c r="D12" s="270"/>
      <c r="E12" s="150">
        <v>12.16</v>
      </c>
      <c r="F12" s="151">
        <v>0</v>
      </c>
      <c r="G12" s="123">
        <f t="shared" si="1"/>
        <v>0</v>
      </c>
    </row>
    <row r="13" spans="1:7" ht="96.75" x14ac:dyDescent="0.25">
      <c r="A13" s="273" t="s">
        <v>242</v>
      </c>
      <c r="B13" s="135" t="s">
        <v>31</v>
      </c>
      <c r="C13" s="269" t="s">
        <v>2</v>
      </c>
      <c r="D13" s="270"/>
      <c r="E13" s="150">
        <v>20.7</v>
      </c>
      <c r="F13" s="151">
        <v>0</v>
      </c>
      <c r="G13" s="123">
        <f t="shared" si="1"/>
        <v>0</v>
      </c>
    </row>
    <row r="14" spans="1:7" ht="108.75" x14ac:dyDescent="0.25">
      <c r="A14" s="273" t="s">
        <v>243</v>
      </c>
      <c r="B14" s="135" t="s">
        <v>32</v>
      </c>
      <c r="C14" s="269" t="s">
        <v>2</v>
      </c>
      <c r="D14" s="270"/>
      <c r="E14" s="150">
        <v>27.560000000000002</v>
      </c>
      <c r="F14" s="151">
        <v>0</v>
      </c>
      <c r="G14" s="123">
        <f t="shared" si="1"/>
        <v>0</v>
      </c>
    </row>
    <row r="15" spans="1:7" ht="144.75" x14ac:dyDescent="0.25">
      <c r="A15" s="273" t="s">
        <v>244</v>
      </c>
      <c r="B15" s="135" t="s">
        <v>34</v>
      </c>
      <c r="C15" s="269" t="s">
        <v>0</v>
      </c>
      <c r="D15" s="269"/>
      <c r="E15" s="150">
        <f>(2.1+8.4+4.35+4.35+4.5+9.4)*2.6+(11.5+11.5)*3.8</f>
        <v>173.45999999999998</v>
      </c>
      <c r="F15" s="151">
        <v>0</v>
      </c>
      <c r="G15" s="123">
        <f t="shared" si="1"/>
        <v>0</v>
      </c>
    </row>
    <row r="16" spans="1:7" ht="156.75" x14ac:dyDescent="0.25">
      <c r="A16" s="273" t="s">
        <v>245</v>
      </c>
      <c r="B16" s="135" t="s">
        <v>38</v>
      </c>
      <c r="C16" s="269" t="s">
        <v>0</v>
      </c>
      <c r="D16" s="269"/>
      <c r="E16" s="150">
        <f>4.5*2.6</f>
        <v>11.700000000000001</v>
      </c>
      <c r="F16" s="151">
        <v>0</v>
      </c>
      <c r="G16" s="123">
        <f t="shared" ref="G16:G31" si="2">SUM(F16*E16)</f>
        <v>0</v>
      </c>
    </row>
    <row r="17" spans="1:7" ht="96.75" x14ac:dyDescent="0.25">
      <c r="A17" s="273" t="s">
        <v>246</v>
      </c>
      <c r="B17" s="135" t="s">
        <v>40</v>
      </c>
      <c r="C17" s="269"/>
      <c r="D17" s="269"/>
      <c r="E17" s="150"/>
      <c r="F17" s="151"/>
      <c r="G17" s="123"/>
    </row>
    <row r="18" spans="1:7" x14ac:dyDescent="0.25">
      <c r="A18" s="273" t="s">
        <v>422</v>
      </c>
      <c r="B18" s="135" t="s">
        <v>451</v>
      </c>
      <c r="C18" s="269" t="s">
        <v>3</v>
      </c>
      <c r="D18" s="269"/>
      <c r="E18" s="150">
        <v>1</v>
      </c>
      <c r="F18" s="151">
        <v>0</v>
      </c>
      <c r="G18" s="123">
        <f t="shared" si="2"/>
        <v>0</v>
      </c>
    </row>
    <row r="19" spans="1:7" x14ac:dyDescent="0.25">
      <c r="A19" s="273" t="s">
        <v>423</v>
      </c>
      <c r="B19" s="135" t="s">
        <v>452</v>
      </c>
      <c r="C19" s="269" t="s">
        <v>3</v>
      </c>
      <c r="D19" s="269"/>
      <c r="E19" s="150">
        <v>1</v>
      </c>
      <c r="F19" s="151">
        <v>0</v>
      </c>
      <c r="G19" s="123">
        <f t="shared" si="2"/>
        <v>0</v>
      </c>
    </row>
    <row r="20" spans="1:7" x14ac:dyDescent="0.25">
      <c r="A20" s="273" t="s">
        <v>424</v>
      </c>
      <c r="B20" s="135" t="s">
        <v>453</v>
      </c>
      <c r="C20" s="269" t="s">
        <v>3</v>
      </c>
      <c r="D20" s="270"/>
      <c r="E20" s="150">
        <v>1</v>
      </c>
      <c r="F20" s="151">
        <v>0</v>
      </c>
      <c r="G20" s="123">
        <f t="shared" si="2"/>
        <v>0</v>
      </c>
    </row>
    <row r="21" spans="1:7" ht="96.75" x14ac:dyDescent="0.25">
      <c r="A21" s="273" t="s">
        <v>247</v>
      </c>
      <c r="B21" s="139" t="s">
        <v>39</v>
      </c>
      <c r="C21" s="269" t="s">
        <v>3</v>
      </c>
      <c r="D21" s="270"/>
      <c r="E21" s="150">
        <v>6</v>
      </c>
      <c r="F21" s="151">
        <v>0</v>
      </c>
      <c r="G21" s="123">
        <f t="shared" si="2"/>
        <v>0</v>
      </c>
    </row>
    <row r="22" spans="1:7" ht="72.75" x14ac:dyDescent="0.25">
      <c r="A22" s="273" t="s">
        <v>248</v>
      </c>
      <c r="B22" s="139" t="s">
        <v>24</v>
      </c>
      <c r="C22" s="269" t="s">
        <v>3</v>
      </c>
      <c r="D22" s="270"/>
      <c r="E22" s="150">
        <v>2</v>
      </c>
      <c r="F22" s="151">
        <v>0</v>
      </c>
      <c r="G22" s="123">
        <f>SUM(F22*E22)</f>
        <v>0</v>
      </c>
    </row>
    <row r="23" spans="1:7" ht="84.75" x14ac:dyDescent="0.25">
      <c r="A23" s="273" t="s">
        <v>249</v>
      </c>
      <c r="B23" s="139" t="s">
        <v>47</v>
      </c>
      <c r="C23" s="269" t="s">
        <v>0</v>
      </c>
      <c r="D23" s="270"/>
      <c r="E23" s="150">
        <v>80.62</v>
      </c>
      <c r="F23" s="151">
        <v>0</v>
      </c>
      <c r="G23" s="123">
        <f>SUM(F23*E23)</f>
        <v>0</v>
      </c>
    </row>
    <row r="24" spans="1:7" ht="84.75" x14ac:dyDescent="0.25">
      <c r="A24" s="273" t="s">
        <v>250</v>
      </c>
      <c r="B24" s="139" t="s">
        <v>45</v>
      </c>
      <c r="C24" s="269" t="s">
        <v>0</v>
      </c>
      <c r="D24" s="270"/>
      <c r="E24" s="150">
        <v>0</v>
      </c>
      <c r="F24" s="151">
        <v>0</v>
      </c>
      <c r="G24" s="123">
        <f t="shared" si="2"/>
        <v>0</v>
      </c>
    </row>
    <row r="25" spans="1:7" ht="84.75" x14ac:dyDescent="0.25">
      <c r="A25" s="273" t="s">
        <v>251</v>
      </c>
      <c r="B25" s="135" t="s">
        <v>42</v>
      </c>
      <c r="C25" s="269" t="s">
        <v>0</v>
      </c>
      <c r="D25" s="270"/>
      <c r="E25" s="150">
        <f>E16*2+E15*2</f>
        <v>370.31999999999994</v>
      </c>
      <c r="F25" s="151">
        <v>0</v>
      </c>
      <c r="G25" s="123">
        <f t="shared" si="2"/>
        <v>0</v>
      </c>
    </row>
    <row r="26" spans="1:7" ht="60.75" x14ac:dyDescent="0.25">
      <c r="A26" s="273" t="s">
        <v>252</v>
      </c>
      <c r="B26" s="135" t="s">
        <v>106</v>
      </c>
      <c r="C26" s="269" t="s">
        <v>0</v>
      </c>
      <c r="D26" s="270"/>
      <c r="E26" s="150">
        <f>$C$3*0.95-E27</f>
        <v>285.4855</v>
      </c>
      <c r="F26" s="151">
        <v>0</v>
      </c>
      <c r="G26" s="123">
        <f>SUM(F26*E26)</f>
        <v>0</v>
      </c>
    </row>
    <row r="27" spans="1:7" ht="72.75" x14ac:dyDescent="0.25">
      <c r="A27" s="273" t="s">
        <v>253</v>
      </c>
      <c r="B27" s="143" t="s">
        <v>466</v>
      </c>
      <c r="C27" s="269" t="s">
        <v>0</v>
      </c>
      <c r="D27" s="270"/>
      <c r="E27" s="208">
        <f>16.7</f>
        <v>16.7</v>
      </c>
      <c r="F27" s="151">
        <v>0</v>
      </c>
      <c r="G27" s="123">
        <f>SUM(F27*E27)</f>
        <v>0</v>
      </c>
    </row>
    <row r="28" spans="1:7" ht="96.75" x14ac:dyDescent="0.25">
      <c r="A28" s="273" t="s">
        <v>254</v>
      </c>
      <c r="B28" s="135" t="s">
        <v>44</v>
      </c>
      <c r="C28" s="269" t="s">
        <v>0</v>
      </c>
      <c r="D28" s="269"/>
      <c r="E28" s="150">
        <v>35.9</v>
      </c>
      <c r="F28" s="151">
        <v>0</v>
      </c>
      <c r="G28" s="123">
        <f>SUM(F28*E28)</f>
        <v>0</v>
      </c>
    </row>
    <row r="29" spans="1:7" ht="72.75" x14ac:dyDescent="0.25">
      <c r="A29" s="273" t="s">
        <v>255</v>
      </c>
      <c r="B29" s="135" t="s">
        <v>43</v>
      </c>
      <c r="C29" s="269" t="s">
        <v>0</v>
      </c>
      <c r="D29" s="270"/>
      <c r="E29" s="150">
        <f>E28</f>
        <v>35.9</v>
      </c>
      <c r="F29" s="151">
        <v>0</v>
      </c>
      <c r="G29" s="123">
        <f>SUM(F29*E29)</f>
        <v>0</v>
      </c>
    </row>
    <row r="30" spans="1:7" ht="72.75" x14ac:dyDescent="0.25">
      <c r="A30" s="273" t="s">
        <v>256</v>
      </c>
      <c r="B30" s="135" t="s">
        <v>41</v>
      </c>
      <c r="C30" s="269" t="s">
        <v>0</v>
      </c>
      <c r="D30" s="270"/>
      <c r="E30" s="150">
        <v>8.15</v>
      </c>
      <c r="F30" s="151">
        <v>0</v>
      </c>
      <c r="G30" s="123">
        <f>SUM(F30*E30)</f>
        <v>0</v>
      </c>
    </row>
    <row r="31" spans="1:7" ht="60.75" x14ac:dyDescent="0.25">
      <c r="A31" s="273" t="s">
        <v>257</v>
      </c>
      <c r="B31" s="135" t="s">
        <v>37</v>
      </c>
      <c r="C31" s="269" t="s">
        <v>0</v>
      </c>
      <c r="D31" s="269"/>
      <c r="E31" s="150">
        <f>(3)*2.6</f>
        <v>7.8000000000000007</v>
      </c>
      <c r="F31" s="151">
        <v>0</v>
      </c>
      <c r="G31" s="123">
        <f t="shared" si="2"/>
        <v>0</v>
      </c>
    </row>
    <row r="32" spans="1:7" ht="120.75" x14ac:dyDescent="0.25">
      <c r="A32" s="273" t="s">
        <v>258</v>
      </c>
      <c r="B32" s="135" t="s">
        <v>35</v>
      </c>
      <c r="C32" s="269" t="s">
        <v>0</v>
      </c>
      <c r="D32" s="270"/>
      <c r="E32" s="150">
        <v>296.55</v>
      </c>
      <c r="F32" s="203">
        <v>0</v>
      </c>
      <c r="G32" s="123">
        <f>SUM(F32*E32)</f>
        <v>0</v>
      </c>
    </row>
    <row r="33" spans="1:20" ht="97.5" thickBot="1" x14ac:dyDescent="0.3">
      <c r="A33" s="273" t="s">
        <v>259</v>
      </c>
      <c r="B33" s="142" t="s">
        <v>36</v>
      </c>
      <c r="C33" s="288" t="s">
        <v>0</v>
      </c>
      <c r="D33" s="289"/>
      <c r="E33" s="196">
        <f>E32*1.04</f>
        <v>308.41200000000003</v>
      </c>
      <c r="F33" s="197">
        <v>0</v>
      </c>
      <c r="G33" s="198">
        <f>SUM(F33*E33)</f>
        <v>0</v>
      </c>
    </row>
    <row r="34" spans="1:20" s="8" customFormat="1" ht="181.5" thickTop="1" x14ac:dyDescent="0.25">
      <c r="A34" s="257" t="s">
        <v>260</v>
      </c>
      <c r="B34" s="258" t="s">
        <v>610</v>
      </c>
      <c r="C34" s="249" t="s">
        <v>80</v>
      </c>
      <c r="D34" s="249"/>
      <c r="E34" s="215">
        <v>1</v>
      </c>
      <c r="F34" s="216">
        <v>0</v>
      </c>
      <c r="G34" s="217">
        <f t="shared" ref="G34" si="3">SUM(F34*E34)</f>
        <v>0</v>
      </c>
    </row>
    <row r="35" spans="1:20" s="8" customFormat="1" ht="89.25" x14ac:dyDescent="0.25">
      <c r="A35" s="259"/>
      <c r="B35" s="140" t="s">
        <v>559</v>
      </c>
      <c r="C35" s="260" t="s">
        <v>95</v>
      </c>
      <c r="D35" s="260"/>
      <c r="E35" s="261">
        <v>12</v>
      </c>
      <c r="F35" s="262">
        <v>0</v>
      </c>
      <c r="G35" s="263"/>
      <c r="I35" s="222"/>
      <c r="J35" s="222"/>
      <c r="K35" s="222"/>
      <c r="L35" s="222"/>
      <c r="M35" s="222"/>
      <c r="N35" s="222"/>
      <c r="O35" s="222"/>
      <c r="P35" s="222"/>
      <c r="Q35" s="222"/>
      <c r="R35" s="222"/>
      <c r="S35" s="7"/>
      <c r="T35" s="7"/>
    </row>
    <row r="36" spans="1:20" s="8" customFormat="1" ht="114.75" x14ac:dyDescent="0.25">
      <c r="A36" s="259"/>
      <c r="B36" s="140" t="s">
        <v>503</v>
      </c>
      <c r="C36" s="260" t="s">
        <v>95</v>
      </c>
      <c r="D36" s="260"/>
      <c r="E36" s="261">
        <v>11</v>
      </c>
      <c r="F36" s="262">
        <v>0</v>
      </c>
      <c r="G36" s="263"/>
      <c r="I36" s="222"/>
      <c r="J36" s="222"/>
      <c r="K36" s="222"/>
      <c r="L36" s="222"/>
      <c r="M36" s="222"/>
      <c r="N36" s="222"/>
      <c r="O36" s="222"/>
      <c r="P36" s="222"/>
      <c r="Q36" s="222"/>
      <c r="R36" s="222"/>
      <c r="S36" s="7"/>
      <c r="T36" s="7"/>
    </row>
    <row r="37" spans="1:20" s="8" customFormat="1" ht="114.75" x14ac:dyDescent="0.25">
      <c r="A37" s="259"/>
      <c r="B37" s="140" t="s">
        <v>504</v>
      </c>
      <c r="C37" s="260" t="s">
        <v>95</v>
      </c>
      <c r="D37" s="260"/>
      <c r="E37" s="261">
        <v>20</v>
      </c>
      <c r="F37" s="262">
        <v>0</v>
      </c>
      <c r="G37" s="263"/>
      <c r="I37" s="222"/>
      <c r="J37" s="222"/>
      <c r="K37" s="222"/>
      <c r="L37" s="222"/>
      <c r="M37" s="222"/>
      <c r="N37" s="222"/>
      <c r="O37" s="222"/>
      <c r="P37" s="222"/>
      <c r="Q37" s="222"/>
      <c r="R37" s="222"/>
      <c r="S37" s="7"/>
      <c r="T37" s="7"/>
    </row>
    <row r="38" spans="1:20" s="8" customFormat="1" ht="51" x14ac:dyDescent="0.25">
      <c r="A38" s="259"/>
      <c r="B38" s="139" t="s">
        <v>511</v>
      </c>
      <c r="C38" s="260" t="s">
        <v>95</v>
      </c>
      <c r="D38" s="260"/>
      <c r="E38" s="261">
        <v>4</v>
      </c>
      <c r="F38" s="262">
        <v>0</v>
      </c>
      <c r="G38" s="263"/>
      <c r="I38" s="222"/>
      <c r="J38" s="222"/>
      <c r="K38" s="222"/>
      <c r="L38" s="222"/>
      <c r="M38" s="222"/>
      <c r="N38" s="222"/>
      <c r="O38" s="222"/>
      <c r="P38" s="222"/>
      <c r="Q38" s="222"/>
      <c r="R38" s="222"/>
      <c r="S38" s="7"/>
      <c r="T38" s="7"/>
    </row>
    <row r="39" spans="1:20" s="8" customFormat="1" ht="51" x14ac:dyDescent="0.25">
      <c r="A39" s="259"/>
      <c r="B39" s="139" t="s">
        <v>512</v>
      </c>
      <c r="C39" s="260" t="s">
        <v>95</v>
      </c>
      <c r="D39" s="260"/>
      <c r="E39" s="261">
        <v>0</v>
      </c>
      <c r="F39" s="262">
        <v>0</v>
      </c>
      <c r="G39" s="263"/>
      <c r="I39" s="222"/>
      <c r="J39" s="222"/>
      <c r="K39" s="222"/>
      <c r="L39" s="222"/>
      <c r="M39" s="222"/>
      <c r="N39" s="222"/>
      <c r="O39" s="222"/>
      <c r="P39" s="222"/>
      <c r="Q39" s="222"/>
      <c r="R39" s="222"/>
      <c r="S39" s="7"/>
      <c r="T39" s="7"/>
    </row>
    <row r="40" spans="1:20" s="8" customFormat="1" ht="51" x14ac:dyDescent="0.25">
      <c r="A40" s="259"/>
      <c r="B40" s="139" t="s">
        <v>513</v>
      </c>
      <c r="C40" s="260" t="s">
        <v>95</v>
      </c>
      <c r="D40" s="260"/>
      <c r="E40" s="261">
        <v>0</v>
      </c>
      <c r="F40" s="262">
        <v>0</v>
      </c>
      <c r="G40" s="263"/>
      <c r="I40" s="222"/>
      <c r="J40" s="222"/>
      <c r="K40" s="222"/>
      <c r="L40" s="222"/>
      <c r="M40" s="222"/>
      <c r="N40" s="222"/>
      <c r="O40" s="222"/>
      <c r="P40" s="222"/>
      <c r="Q40" s="222"/>
      <c r="R40" s="222"/>
      <c r="S40" s="7"/>
      <c r="T40" s="7"/>
    </row>
    <row r="41" spans="1:20" s="8" customFormat="1" ht="51" x14ac:dyDescent="0.25">
      <c r="A41" s="259"/>
      <c r="B41" s="139" t="s">
        <v>514</v>
      </c>
      <c r="C41" s="260" t="s">
        <v>95</v>
      </c>
      <c r="D41" s="260"/>
      <c r="E41" s="261">
        <v>14</v>
      </c>
      <c r="F41" s="262">
        <v>0</v>
      </c>
      <c r="G41" s="263"/>
      <c r="I41" s="222"/>
      <c r="J41" s="222"/>
      <c r="K41" s="222"/>
      <c r="L41" s="222"/>
      <c r="M41" s="222"/>
      <c r="N41" s="222"/>
      <c r="O41" s="222"/>
      <c r="P41" s="222"/>
      <c r="Q41" s="222"/>
      <c r="R41" s="222"/>
      <c r="S41" s="7"/>
      <c r="T41" s="7"/>
    </row>
    <row r="42" spans="1:20" s="8" customFormat="1" ht="25.5" x14ac:dyDescent="0.25">
      <c r="A42" s="259"/>
      <c r="B42" s="140" t="s">
        <v>505</v>
      </c>
      <c r="C42" s="260" t="s">
        <v>95</v>
      </c>
      <c r="D42" s="260"/>
      <c r="E42" s="261">
        <v>2</v>
      </c>
      <c r="F42" s="262">
        <v>0</v>
      </c>
      <c r="G42" s="263"/>
      <c r="I42" s="222"/>
      <c r="J42" s="222"/>
      <c r="K42" s="222"/>
      <c r="L42" s="222"/>
      <c r="M42" s="222"/>
      <c r="N42" s="222"/>
      <c r="O42" s="222"/>
      <c r="P42" s="222"/>
      <c r="Q42" s="222"/>
      <c r="R42" s="222"/>
      <c r="S42" s="7"/>
      <c r="T42" s="7"/>
    </row>
    <row r="43" spans="1:20" s="8" customFormat="1" ht="25.5" x14ac:dyDescent="0.25">
      <c r="A43" s="259"/>
      <c r="B43" s="140" t="s">
        <v>545</v>
      </c>
      <c r="C43" s="260" t="s">
        <v>95</v>
      </c>
      <c r="D43" s="260"/>
      <c r="E43" s="261">
        <v>4</v>
      </c>
      <c r="F43" s="262">
        <v>0</v>
      </c>
      <c r="G43" s="263"/>
      <c r="I43" s="222"/>
      <c r="J43" s="222"/>
      <c r="K43" s="222"/>
      <c r="L43" s="222"/>
      <c r="M43" s="222"/>
      <c r="N43" s="222"/>
      <c r="O43" s="222"/>
      <c r="P43" s="222"/>
      <c r="Q43" s="222"/>
      <c r="R43" s="222"/>
      <c r="S43" s="7"/>
      <c r="T43" s="7"/>
    </row>
    <row r="44" spans="1:20" s="8" customFormat="1" ht="25.5" x14ac:dyDescent="0.25">
      <c r="A44" s="259"/>
      <c r="B44" s="140" t="s">
        <v>507</v>
      </c>
      <c r="C44" s="260" t="s">
        <v>95</v>
      </c>
      <c r="D44" s="260"/>
      <c r="E44" s="261">
        <v>7</v>
      </c>
      <c r="F44" s="262">
        <v>0</v>
      </c>
      <c r="G44" s="263"/>
      <c r="I44" s="222"/>
      <c r="J44" s="222"/>
      <c r="K44" s="222"/>
      <c r="L44" s="222"/>
      <c r="M44" s="222"/>
      <c r="N44" s="222"/>
      <c r="O44" s="222"/>
      <c r="P44" s="222"/>
      <c r="Q44" s="222"/>
      <c r="R44" s="222"/>
      <c r="S44" s="7"/>
      <c r="T44" s="7"/>
    </row>
    <row r="45" spans="1:20" s="8" customFormat="1" ht="25.5" x14ac:dyDescent="0.25">
      <c r="A45" s="259"/>
      <c r="B45" s="140" t="s">
        <v>509</v>
      </c>
      <c r="C45" s="260" t="s">
        <v>95</v>
      </c>
      <c r="D45" s="260"/>
      <c r="E45" s="261">
        <v>1</v>
      </c>
      <c r="F45" s="262">
        <v>0</v>
      </c>
      <c r="G45" s="263"/>
      <c r="I45" s="222"/>
      <c r="J45" s="222"/>
      <c r="K45" s="222"/>
      <c r="L45" s="222"/>
      <c r="M45" s="222"/>
      <c r="N45" s="222"/>
      <c r="O45" s="222"/>
      <c r="P45" s="222"/>
      <c r="Q45" s="222"/>
      <c r="R45" s="222"/>
      <c r="S45" s="7"/>
      <c r="T45" s="7"/>
    </row>
    <row r="46" spans="1:20" s="8" customFormat="1" ht="51" x14ac:dyDescent="0.25">
      <c r="A46" s="296"/>
      <c r="B46" s="140" t="s">
        <v>560</v>
      </c>
      <c r="C46" s="260" t="s">
        <v>95</v>
      </c>
      <c r="D46" s="260"/>
      <c r="E46" s="261">
        <v>10</v>
      </c>
      <c r="F46" s="262">
        <v>0</v>
      </c>
      <c r="G46" s="263"/>
      <c r="I46" s="222"/>
      <c r="J46" s="222"/>
      <c r="K46" s="222"/>
      <c r="L46" s="222"/>
      <c r="M46" s="222"/>
      <c r="N46" s="222"/>
      <c r="O46" s="222"/>
      <c r="P46" s="222"/>
      <c r="Q46" s="222"/>
      <c r="R46" s="222"/>
      <c r="S46" s="7"/>
      <c r="T46" s="7"/>
    </row>
    <row r="47" spans="1:20" s="7" customFormat="1" ht="51" x14ac:dyDescent="0.25">
      <c r="A47" s="259"/>
      <c r="B47" s="140" t="s">
        <v>539</v>
      </c>
      <c r="C47" s="260" t="s">
        <v>80</v>
      </c>
      <c r="D47" s="260"/>
      <c r="E47" s="261">
        <v>1</v>
      </c>
      <c r="F47" s="262">
        <v>0</v>
      </c>
      <c r="G47" s="263"/>
      <c r="I47" s="222"/>
      <c r="J47" s="222"/>
      <c r="K47" s="222"/>
      <c r="L47" s="222"/>
      <c r="M47" s="222"/>
      <c r="N47" s="222"/>
      <c r="O47" s="222"/>
      <c r="P47" s="222"/>
      <c r="Q47" s="222"/>
      <c r="R47" s="222"/>
    </row>
    <row r="48" spans="1:20" s="7" customFormat="1" ht="76.5" x14ac:dyDescent="0.25">
      <c r="A48" s="259"/>
      <c r="B48" s="140" t="s">
        <v>542</v>
      </c>
      <c r="C48" s="260" t="s">
        <v>80</v>
      </c>
      <c r="D48" s="260"/>
      <c r="E48" s="261">
        <v>1</v>
      </c>
      <c r="F48" s="262">
        <v>0</v>
      </c>
      <c r="G48" s="263"/>
      <c r="I48" s="222"/>
      <c r="J48" s="222"/>
      <c r="K48" s="222"/>
      <c r="L48" s="222"/>
      <c r="M48" s="222"/>
      <c r="N48" s="222"/>
      <c r="O48" s="222"/>
      <c r="P48" s="222"/>
      <c r="Q48" s="222"/>
      <c r="R48" s="222"/>
    </row>
    <row r="49" spans="1:20" s="7" customFormat="1" ht="63.75" x14ac:dyDescent="0.25">
      <c r="A49" s="259"/>
      <c r="B49" s="139" t="s">
        <v>541</v>
      </c>
      <c r="C49" s="260" t="s">
        <v>95</v>
      </c>
      <c r="D49" s="260"/>
      <c r="E49" s="261">
        <v>1</v>
      </c>
      <c r="F49" s="262">
        <v>0</v>
      </c>
      <c r="G49" s="263"/>
      <c r="I49" s="222"/>
      <c r="J49" s="222"/>
      <c r="K49" s="222"/>
      <c r="L49" s="222"/>
      <c r="M49" s="222"/>
      <c r="N49" s="222"/>
      <c r="O49" s="222"/>
      <c r="P49" s="222"/>
      <c r="Q49" s="222"/>
      <c r="R49" s="222"/>
    </row>
    <row r="50" spans="1:20" s="7" customFormat="1" ht="16.5" x14ac:dyDescent="0.25">
      <c r="A50" s="259"/>
      <c r="B50" s="140" t="s">
        <v>506</v>
      </c>
      <c r="C50" s="260" t="s">
        <v>80</v>
      </c>
      <c r="D50" s="260"/>
      <c r="E50" s="261">
        <v>1</v>
      </c>
      <c r="F50" s="262">
        <v>0</v>
      </c>
      <c r="G50" s="263"/>
      <c r="I50" s="222"/>
      <c r="J50" s="222"/>
      <c r="K50" s="222"/>
      <c r="L50" s="222"/>
      <c r="M50" s="222"/>
      <c r="N50" s="222"/>
      <c r="O50" s="222"/>
      <c r="P50" s="222"/>
      <c r="Q50" s="222"/>
      <c r="R50" s="222"/>
    </row>
    <row r="51" spans="1:20" s="7" customFormat="1" ht="64.5" thickBot="1" x14ac:dyDescent="0.3">
      <c r="A51" s="259"/>
      <c r="B51" s="140" t="s">
        <v>515</v>
      </c>
      <c r="C51" s="260" t="s">
        <v>80</v>
      </c>
      <c r="D51" s="260"/>
      <c r="E51" s="261">
        <v>1</v>
      </c>
      <c r="F51" s="262">
        <v>0</v>
      </c>
      <c r="G51" s="263"/>
      <c r="I51" s="222"/>
      <c r="J51" s="222"/>
      <c r="K51" s="222"/>
      <c r="L51" s="222"/>
      <c r="M51" s="222"/>
      <c r="N51" s="222"/>
      <c r="O51" s="222"/>
      <c r="P51" s="222"/>
      <c r="Q51" s="222"/>
      <c r="R51" s="222"/>
    </row>
    <row r="52" spans="1:20" s="146" customFormat="1" ht="301.5" thickTop="1" x14ac:dyDescent="0.25">
      <c r="A52" s="267" t="s">
        <v>261</v>
      </c>
      <c r="B52" s="258" t="s">
        <v>611</v>
      </c>
      <c r="C52" s="249" t="s">
        <v>80</v>
      </c>
      <c r="D52" s="249"/>
      <c r="E52" s="215">
        <v>1</v>
      </c>
      <c r="F52" s="216">
        <v>0</v>
      </c>
      <c r="G52" s="217">
        <f>SUM(F52*E52)</f>
        <v>0</v>
      </c>
    </row>
    <row r="53" spans="1:20" s="7" customFormat="1" ht="16.5" x14ac:dyDescent="0.25">
      <c r="A53" s="259"/>
      <c r="B53" s="226" t="s">
        <v>531</v>
      </c>
      <c r="C53" s="260"/>
      <c r="D53" s="260"/>
      <c r="E53" s="261"/>
      <c r="F53" s="262"/>
      <c r="G53" s="263"/>
    </row>
    <row r="54" spans="1:20" s="8" customFormat="1" ht="63.75" x14ac:dyDescent="0.25">
      <c r="A54" s="259"/>
      <c r="B54" s="139" t="s">
        <v>530</v>
      </c>
      <c r="C54" s="260" t="s">
        <v>516</v>
      </c>
      <c r="D54" s="260"/>
      <c r="E54" s="261">
        <v>20</v>
      </c>
      <c r="F54" s="262">
        <v>0</v>
      </c>
      <c r="G54" s="263">
        <f t="shared" ref="G54:G56" si="4">E54*F54</f>
        <v>0</v>
      </c>
      <c r="I54" s="7"/>
      <c r="J54" s="7"/>
      <c r="K54" s="7"/>
      <c r="L54" s="7"/>
      <c r="M54" s="7"/>
      <c r="N54" s="7"/>
      <c r="O54" s="7"/>
      <c r="P54" s="7"/>
      <c r="Q54" s="7"/>
      <c r="R54" s="7"/>
      <c r="S54" s="7"/>
      <c r="T54" s="7"/>
    </row>
    <row r="55" spans="1:20" s="8" customFormat="1" ht="38.25" x14ac:dyDescent="0.25">
      <c r="A55" s="259"/>
      <c r="B55" s="139" t="s">
        <v>527</v>
      </c>
      <c r="C55" s="260" t="s">
        <v>80</v>
      </c>
      <c r="D55" s="260"/>
      <c r="E55" s="261">
        <v>1</v>
      </c>
      <c r="F55" s="262">
        <v>0</v>
      </c>
      <c r="G55" s="263">
        <f t="shared" si="4"/>
        <v>0</v>
      </c>
      <c r="I55" s="7"/>
      <c r="J55" s="7"/>
      <c r="K55" s="7"/>
      <c r="L55" s="7"/>
      <c r="M55" s="7"/>
      <c r="N55" s="7"/>
      <c r="O55" s="7"/>
      <c r="P55" s="7"/>
      <c r="Q55" s="7"/>
      <c r="R55" s="7"/>
      <c r="S55" s="7"/>
      <c r="T55" s="7"/>
    </row>
    <row r="56" spans="1:20" s="8" customFormat="1" ht="16.5" x14ac:dyDescent="0.25">
      <c r="A56" s="259"/>
      <c r="B56" s="140" t="s">
        <v>526</v>
      </c>
      <c r="C56" s="260" t="s">
        <v>80</v>
      </c>
      <c r="D56" s="260"/>
      <c r="E56" s="261">
        <v>1</v>
      </c>
      <c r="F56" s="262">
        <v>0</v>
      </c>
      <c r="G56" s="263">
        <f t="shared" si="4"/>
        <v>0</v>
      </c>
      <c r="I56" s="7"/>
      <c r="J56" s="7"/>
      <c r="K56" s="7"/>
      <c r="L56" s="7"/>
      <c r="M56" s="7"/>
      <c r="N56" s="7"/>
      <c r="O56" s="7"/>
      <c r="P56" s="7"/>
      <c r="Q56" s="7"/>
      <c r="R56" s="7"/>
      <c r="S56" s="7"/>
      <c r="T56" s="7"/>
    </row>
    <row r="57" spans="1:20" s="7" customFormat="1" ht="16.5" x14ac:dyDescent="0.25">
      <c r="A57" s="259"/>
      <c r="B57" s="226" t="s">
        <v>517</v>
      </c>
      <c r="C57" s="260"/>
      <c r="D57" s="260"/>
      <c r="E57" s="261"/>
      <c r="F57" s="262"/>
      <c r="G57" s="263"/>
    </row>
    <row r="58" spans="1:20" s="7" customFormat="1" ht="25.5" x14ac:dyDescent="0.25">
      <c r="A58" s="259"/>
      <c r="B58" s="140" t="s">
        <v>528</v>
      </c>
      <c r="C58" s="260" t="s">
        <v>95</v>
      </c>
      <c r="D58" s="260"/>
      <c r="E58" s="261">
        <v>1</v>
      </c>
      <c r="F58" s="262">
        <v>0</v>
      </c>
      <c r="G58" s="263">
        <f t="shared" ref="G58:G62" si="5">E58*F58</f>
        <v>0</v>
      </c>
    </row>
    <row r="59" spans="1:20" s="8" customFormat="1" ht="25.5" x14ac:dyDescent="0.25">
      <c r="A59" s="268"/>
      <c r="B59" s="139" t="s">
        <v>529</v>
      </c>
      <c r="C59" s="260" t="s">
        <v>95</v>
      </c>
      <c r="D59" s="260"/>
      <c r="E59" s="261">
        <v>1</v>
      </c>
      <c r="F59" s="262">
        <v>0</v>
      </c>
      <c r="G59" s="263">
        <f t="shared" si="5"/>
        <v>0</v>
      </c>
    </row>
    <row r="60" spans="1:20" s="8" customFormat="1" ht="38.25" x14ac:dyDescent="0.25">
      <c r="A60" s="268"/>
      <c r="B60" s="139" t="s">
        <v>524</v>
      </c>
      <c r="C60" s="260" t="s">
        <v>95</v>
      </c>
      <c r="D60" s="260"/>
      <c r="E60" s="261">
        <v>1</v>
      </c>
      <c r="F60" s="262">
        <v>0</v>
      </c>
      <c r="G60" s="263">
        <f t="shared" si="5"/>
        <v>0</v>
      </c>
    </row>
    <row r="61" spans="1:20" s="8" customFormat="1" ht="25.5" x14ac:dyDescent="0.25">
      <c r="A61" s="268"/>
      <c r="B61" s="139" t="s">
        <v>521</v>
      </c>
      <c r="C61" s="260" t="s">
        <v>95</v>
      </c>
      <c r="D61" s="260"/>
      <c r="E61" s="261">
        <v>1</v>
      </c>
      <c r="F61" s="262">
        <v>0</v>
      </c>
      <c r="G61" s="263">
        <f t="shared" si="5"/>
        <v>0</v>
      </c>
    </row>
    <row r="62" spans="1:20" s="8" customFormat="1" ht="76.5" x14ac:dyDescent="0.25">
      <c r="A62" s="268"/>
      <c r="B62" s="139" t="s">
        <v>538</v>
      </c>
      <c r="C62" s="260" t="s">
        <v>95</v>
      </c>
      <c r="D62" s="260"/>
      <c r="E62" s="261">
        <v>1</v>
      </c>
      <c r="F62" s="262">
        <v>0</v>
      </c>
      <c r="G62" s="263">
        <f t="shared" si="5"/>
        <v>0</v>
      </c>
    </row>
    <row r="63" spans="1:20" s="8" customFormat="1" ht="16.5" x14ac:dyDescent="0.25">
      <c r="A63" s="268"/>
      <c r="B63" s="226" t="s">
        <v>518</v>
      </c>
      <c r="C63" s="260"/>
      <c r="D63" s="260"/>
      <c r="E63" s="261"/>
      <c r="F63" s="262"/>
      <c r="G63" s="263"/>
    </row>
    <row r="64" spans="1:20" s="8" customFormat="1" ht="51" x14ac:dyDescent="0.25">
      <c r="A64" s="268"/>
      <c r="B64" s="139" t="s">
        <v>532</v>
      </c>
      <c r="C64" s="260" t="s">
        <v>516</v>
      </c>
      <c r="D64" s="260"/>
      <c r="E64" s="261">
        <v>2</v>
      </c>
      <c r="F64" s="262">
        <v>0</v>
      </c>
      <c r="G64" s="263">
        <f t="shared" ref="G64:G68" si="6">E64*F64</f>
        <v>0</v>
      </c>
    </row>
    <row r="65" spans="1:18" s="8" customFormat="1" ht="51" x14ac:dyDescent="0.25">
      <c r="A65" s="268"/>
      <c r="B65" s="139" t="s">
        <v>533</v>
      </c>
      <c r="C65" s="260" t="s">
        <v>516</v>
      </c>
      <c r="D65" s="260"/>
      <c r="E65" s="261">
        <v>3</v>
      </c>
      <c r="F65" s="262">
        <v>0</v>
      </c>
      <c r="G65" s="263">
        <f t="shared" si="6"/>
        <v>0</v>
      </c>
    </row>
    <row r="66" spans="1:18" s="8" customFormat="1" ht="51" x14ac:dyDescent="0.25">
      <c r="A66" s="268"/>
      <c r="B66" s="139" t="s">
        <v>534</v>
      </c>
      <c r="C66" s="260" t="s">
        <v>516</v>
      </c>
      <c r="D66" s="260"/>
      <c r="E66" s="261">
        <v>2</v>
      </c>
      <c r="F66" s="262">
        <v>0</v>
      </c>
      <c r="G66" s="263">
        <f t="shared" si="6"/>
        <v>0</v>
      </c>
    </row>
    <row r="67" spans="1:18" s="8" customFormat="1" ht="38.25" x14ac:dyDescent="0.25">
      <c r="A67" s="268"/>
      <c r="B67" s="139" t="s">
        <v>527</v>
      </c>
      <c r="C67" s="260" t="s">
        <v>80</v>
      </c>
      <c r="D67" s="260"/>
      <c r="E67" s="261">
        <v>1</v>
      </c>
      <c r="F67" s="262">
        <v>0</v>
      </c>
      <c r="G67" s="263">
        <f t="shared" si="6"/>
        <v>0</v>
      </c>
    </row>
    <row r="68" spans="1:18" s="8" customFormat="1" ht="16.5" x14ac:dyDescent="0.25">
      <c r="A68" s="268"/>
      <c r="B68" s="140" t="s">
        <v>526</v>
      </c>
      <c r="C68" s="260" t="s">
        <v>80</v>
      </c>
      <c r="D68" s="260"/>
      <c r="E68" s="261">
        <v>1</v>
      </c>
      <c r="F68" s="262">
        <v>0</v>
      </c>
      <c r="G68" s="263">
        <f t="shared" si="6"/>
        <v>0</v>
      </c>
    </row>
    <row r="69" spans="1:18" s="8" customFormat="1" ht="16.5" x14ac:dyDescent="0.25">
      <c r="A69" s="268"/>
      <c r="B69" s="226" t="s">
        <v>519</v>
      </c>
      <c r="C69" s="260"/>
      <c r="D69" s="260"/>
      <c r="E69" s="261"/>
      <c r="F69" s="262"/>
      <c r="G69" s="263"/>
    </row>
    <row r="70" spans="1:18" s="8" customFormat="1" ht="38.25" x14ac:dyDescent="0.25">
      <c r="A70" s="268"/>
      <c r="B70" s="139" t="s">
        <v>540</v>
      </c>
      <c r="C70" s="260" t="s">
        <v>516</v>
      </c>
      <c r="D70" s="260"/>
      <c r="E70" s="261">
        <f>16*4+22.5*2+13*2</f>
        <v>135</v>
      </c>
      <c r="F70" s="262">
        <v>0</v>
      </c>
      <c r="G70" s="263">
        <f t="shared" ref="G70:G74" si="7">E70*F70</f>
        <v>0</v>
      </c>
    </row>
    <row r="71" spans="1:18" s="8" customFormat="1" ht="38.25" x14ac:dyDescent="0.25">
      <c r="A71" s="268"/>
      <c r="B71" s="139" t="s">
        <v>527</v>
      </c>
      <c r="C71" s="260" t="s">
        <v>80</v>
      </c>
      <c r="D71" s="260"/>
      <c r="E71" s="261">
        <v>1</v>
      </c>
      <c r="F71" s="262">
        <v>0</v>
      </c>
      <c r="G71" s="263">
        <f t="shared" si="7"/>
        <v>0</v>
      </c>
    </row>
    <row r="72" spans="1:18" s="8" customFormat="1" ht="16.5" x14ac:dyDescent="0.25">
      <c r="A72" s="268"/>
      <c r="B72" s="139" t="s">
        <v>520</v>
      </c>
      <c r="C72" s="260" t="s">
        <v>95</v>
      </c>
      <c r="D72" s="260"/>
      <c r="E72" s="261">
        <f>16*3</f>
        <v>48</v>
      </c>
      <c r="F72" s="262">
        <v>0</v>
      </c>
      <c r="G72" s="263">
        <f t="shared" si="7"/>
        <v>0</v>
      </c>
    </row>
    <row r="73" spans="1:18" s="8" customFormat="1" ht="16.5" x14ac:dyDescent="0.25">
      <c r="A73" s="268"/>
      <c r="B73" s="139" t="s">
        <v>535</v>
      </c>
      <c r="C73" s="260" t="s">
        <v>95</v>
      </c>
      <c r="D73" s="260"/>
      <c r="E73" s="261">
        <f>22.5*2+13*2</f>
        <v>71</v>
      </c>
      <c r="F73" s="262">
        <v>0</v>
      </c>
      <c r="G73" s="263">
        <f t="shared" si="7"/>
        <v>0</v>
      </c>
    </row>
    <row r="74" spans="1:18" s="8" customFormat="1" ht="17.25" thickBot="1" x14ac:dyDescent="0.3">
      <c r="A74" s="268"/>
      <c r="B74" s="140" t="s">
        <v>526</v>
      </c>
      <c r="C74" s="260" t="s">
        <v>80</v>
      </c>
      <c r="D74" s="260"/>
      <c r="E74" s="261">
        <v>1</v>
      </c>
      <c r="F74" s="262">
        <v>0</v>
      </c>
      <c r="G74" s="263">
        <f t="shared" si="7"/>
        <v>0</v>
      </c>
    </row>
    <row r="75" spans="1:18" s="8" customFormat="1" ht="145.5" thickTop="1" x14ac:dyDescent="0.25">
      <c r="A75" s="257" t="s">
        <v>262</v>
      </c>
      <c r="B75" s="258" t="s">
        <v>612</v>
      </c>
      <c r="C75" s="249" t="s">
        <v>80</v>
      </c>
      <c r="D75" s="249"/>
      <c r="E75" s="215">
        <v>1</v>
      </c>
      <c r="F75" s="216">
        <v>0</v>
      </c>
      <c r="G75" s="217">
        <f>SUM(F75*E75)</f>
        <v>0</v>
      </c>
    </row>
    <row r="76" spans="1:18" s="7" customFormat="1" ht="63.75" x14ac:dyDescent="0.25">
      <c r="A76" s="259"/>
      <c r="B76" s="140" t="s">
        <v>543</v>
      </c>
      <c r="C76" s="260" t="s">
        <v>80</v>
      </c>
      <c r="D76" s="260"/>
      <c r="E76" s="261">
        <v>1</v>
      </c>
      <c r="F76" s="262">
        <v>0</v>
      </c>
      <c r="G76" s="263">
        <f t="shared" ref="G76:G80" si="8">E76*F76</f>
        <v>0</v>
      </c>
      <c r="I76" s="222"/>
      <c r="J76" s="222"/>
      <c r="K76" s="222"/>
      <c r="L76" s="222"/>
      <c r="M76" s="222"/>
      <c r="N76" s="222"/>
      <c r="O76" s="222"/>
      <c r="P76" s="222"/>
      <c r="Q76" s="222"/>
      <c r="R76" s="222"/>
    </row>
    <row r="77" spans="1:18" s="7" customFormat="1" ht="63.75" x14ac:dyDescent="0.25">
      <c r="A77" s="259"/>
      <c r="B77" s="140" t="s">
        <v>544</v>
      </c>
      <c r="C77" s="260" t="s">
        <v>80</v>
      </c>
      <c r="D77" s="260"/>
      <c r="E77" s="261">
        <v>1</v>
      </c>
      <c r="F77" s="262">
        <v>0</v>
      </c>
      <c r="G77" s="263">
        <f t="shared" si="8"/>
        <v>0</v>
      </c>
      <c r="I77" s="222"/>
      <c r="J77" s="222"/>
      <c r="K77" s="222"/>
      <c r="L77" s="222"/>
      <c r="M77" s="222"/>
      <c r="N77" s="222"/>
      <c r="O77" s="222"/>
      <c r="P77" s="222"/>
      <c r="Q77" s="222"/>
      <c r="R77" s="222"/>
    </row>
    <row r="78" spans="1:18" s="146" customFormat="1" ht="38.25" x14ac:dyDescent="0.25">
      <c r="A78" s="257"/>
      <c r="B78" s="274" t="s">
        <v>537</v>
      </c>
      <c r="C78" s="275" t="s">
        <v>95</v>
      </c>
      <c r="D78" s="275"/>
      <c r="E78" s="276">
        <v>1</v>
      </c>
      <c r="F78" s="262">
        <v>0</v>
      </c>
      <c r="G78" s="263">
        <f t="shared" si="8"/>
        <v>0</v>
      </c>
    </row>
    <row r="79" spans="1:18" s="146" customFormat="1" ht="63.75" x14ac:dyDescent="0.25">
      <c r="A79" s="257"/>
      <c r="B79" s="274" t="s">
        <v>553</v>
      </c>
      <c r="C79" s="275" t="s">
        <v>95</v>
      </c>
      <c r="D79" s="275"/>
      <c r="E79" s="276">
        <v>1</v>
      </c>
      <c r="F79" s="262">
        <v>0</v>
      </c>
      <c r="G79" s="263">
        <f t="shared" si="8"/>
        <v>0</v>
      </c>
    </row>
    <row r="80" spans="1:18" s="146" customFormat="1" ht="17.25" thickBot="1" x14ac:dyDescent="0.3">
      <c r="A80" s="257"/>
      <c r="B80" s="277" t="s">
        <v>526</v>
      </c>
      <c r="C80" s="278" t="s">
        <v>80</v>
      </c>
      <c r="D80" s="278"/>
      <c r="E80" s="279">
        <v>1</v>
      </c>
      <c r="F80" s="280">
        <v>0</v>
      </c>
      <c r="G80" s="281">
        <f t="shared" si="8"/>
        <v>0</v>
      </c>
    </row>
    <row r="81" spans="1:7" s="8" customFormat="1" ht="17.25" thickTop="1" x14ac:dyDescent="0.25">
      <c r="A81" s="273" t="s">
        <v>472</v>
      </c>
      <c r="B81" s="227" t="s">
        <v>438</v>
      </c>
      <c r="C81" s="249"/>
      <c r="D81" s="249"/>
      <c r="E81" s="250"/>
      <c r="F81" s="251"/>
      <c r="G81" s="291"/>
    </row>
    <row r="82" spans="1:7" s="8" customFormat="1" ht="16.5" x14ac:dyDescent="0.25">
      <c r="A82" s="189" t="s">
        <v>473</v>
      </c>
      <c r="B82" s="225" t="s">
        <v>14</v>
      </c>
      <c r="C82" s="153" t="s">
        <v>12</v>
      </c>
      <c r="D82" s="153"/>
      <c r="E82" s="154">
        <v>2</v>
      </c>
      <c r="F82" s="155">
        <v>0</v>
      </c>
      <c r="G82" s="156">
        <f>E82*F82</f>
        <v>0</v>
      </c>
    </row>
    <row r="83" spans="1:7" s="8" customFormat="1" ht="17.25" thickBot="1" x14ac:dyDescent="0.3">
      <c r="A83" s="189" t="s">
        <v>478</v>
      </c>
      <c r="B83" s="49" t="s">
        <v>13</v>
      </c>
      <c r="C83" s="157" t="s">
        <v>12</v>
      </c>
      <c r="D83" s="157"/>
      <c r="E83" s="158">
        <v>3</v>
      </c>
      <c r="F83" s="159">
        <v>0</v>
      </c>
      <c r="G83" s="160">
        <f>E83*F83</f>
        <v>0</v>
      </c>
    </row>
    <row r="84" spans="1:7" ht="16.5" thickTop="1" thickBot="1" x14ac:dyDescent="0.3">
      <c r="A84" s="186"/>
      <c r="B84" s="51"/>
      <c r="C84" s="52"/>
      <c r="D84" s="52"/>
      <c r="E84" s="97"/>
      <c r="F84" s="98"/>
      <c r="G84" s="99">
        <f>SUM(G11:G83)</f>
        <v>0</v>
      </c>
    </row>
    <row r="85" spans="1:7" ht="15.75" thickTop="1" x14ac:dyDescent="0.25">
      <c r="F85" s="100"/>
    </row>
    <row r="86" spans="1:7" x14ac:dyDescent="0.25">
      <c r="A86" s="187"/>
      <c r="B86" s="5"/>
    </row>
    <row r="87" spans="1:7" x14ac:dyDescent="0.25">
      <c r="A87" s="187"/>
      <c r="B87" s="3"/>
    </row>
    <row r="88" spans="1:7" x14ac:dyDescent="0.25">
      <c r="A88" s="187"/>
      <c r="B88" s="4"/>
    </row>
    <row r="89" spans="1:7" x14ac:dyDescent="0.25">
      <c r="A89" s="187"/>
      <c r="B89" s="5"/>
    </row>
    <row r="90" spans="1:7" x14ac:dyDescent="0.25">
      <c r="A90" s="187"/>
      <c r="B90" s="6"/>
    </row>
    <row r="91" spans="1:7" x14ac:dyDescent="0.25">
      <c r="A91" s="187"/>
      <c r="B91" s="3"/>
    </row>
    <row r="92" spans="1:7" x14ac:dyDescent="0.25">
      <c r="A92" s="187"/>
      <c r="B92" s="6"/>
    </row>
    <row r="93" spans="1:7" x14ac:dyDescent="0.25">
      <c r="A93" s="187"/>
      <c r="B93" s="3"/>
    </row>
    <row r="94" spans="1:7" x14ac:dyDescent="0.25">
      <c r="A94" s="187"/>
      <c r="B94" s="5"/>
    </row>
    <row r="95" spans="1:7" x14ac:dyDescent="0.25">
      <c r="A95" s="187"/>
      <c r="B95" s="3"/>
    </row>
    <row r="96" spans="1:7" x14ac:dyDescent="0.25">
      <c r="A96" s="187"/>
      <c r="B96" s="3"/>
    </row>
    <row r="97" spans="1:2" x14ac:dyDescent="0.25">
      <c r="A97" s="187"/>
      <c r="B97" s="3"/>
    </row>
    <row r="98" spans="1:2" x14ac:dyDescent="0.25">
      <c r="A98" s="187"/>
      <c r="B98" s="3"/>
    </row>
    <row r="99" spans="1:2" x14ac:dyDescent="0.25">
      <c r="A99" s="187"/>
      <c r="B99" s="23"/>
    </row>
  </sheetData>
  <mergeCells count="2">
    <mergeCell ref="A3:B3"/>
    <mergeCell ref="A1:G1"/>
  </mergeCells>
  <printOptions horizontalCentered="1"/>
  <pageMargins left="0.39370078740157483" right="0.39370078740157483" top="0.39370078740157483" bottom="0.59055118110236227" header="0.31496062992125984" footer="0.31496062992125984"/>
  <pageSetup paperSize="9" orientation="landscape" r:id="rId1"/>
  <headerFooter>
    <oddFooter>&amp;L&amp;8CONCEPTION ET ADAPTATION ARCHITECTURALE-STRUCTURALE DES PLAN TYPES DE CENTRES PUBLICS DE FORMATION PROFESSIONNELLE ET D’ETUDES TECHNIQUES EN VUE DE LA CONSTRUCTION DU CENTRE PROFESSIONNELLE DES CAYES</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00B050"/>
  </sheetPr>
  <dimension ref="A1:T99"/>
  <sheetViews>
    <sheetView topLeftCell="A82" zoomScaleNormal="100" workbookViewId="0">
      <selection activeCell="J5" sqref="J5"/>
    </sheetView>
  </sheetViews>
  <sheetFormatPr defaultColWidth="11.5703125" defaultRowHeight="15" x14ac:dyDescent="0.25"/>
  <cols>
    <col min="1" max="1" width="5.7109375" style="181" customWidth="1"/>
    <col min="2" max="2" width="85.42578125" style="22" customWidth="1"/>
    <col min="3" max="3" width="8.28515625" bestFit="1" customWidth="1"/>
    <col min="4" max="4" width="3.7109375" customWidth="1"/>
    <col min="5" max="5" width="10.85546875" style="92" customWidth="1"/>
    <col min="6" max="6" width="10" style="93" customWidth="1"/>
    <col min="7" max="7" width="15" style="92" customWidth="1"/>
    <col min="8" max="11" width="11.5703125" customWidth="1"/>
  </cols>
  <sheetData>
    <row r="1" spans="1:7" ht="33.950000000000003" customHeight="1" thickTop="1" thickBot="1" x14ac:dyDescent="0.3">
      <c r="A1" s="356" t="s">
        <v>70</v>
      </c>
      <c r="B1" s="357"/>
      <c r="C1" s="357"/>
      <c r="D1" s="357"/>
      <c r="E1" s="357"/>
      <c r="F1" s="357"/>
      <c r="G1" s="358"/>
    </row>
    <row r="2" spans="1:7" ht="16.5" thickTop="1" thickBot="1" x14ac:dyDescent="0.3">
      <c r="C2" s="1" t="s">
        <v>615</v>
      </c>
      <c r="D2" s="1"/>
      <c r="E2" s="92" t="s">
        <v>4</v>
      </c>
      <c r="F2" s="93" t="s">
        <v>5</v>
      </c>
      <c r="G2" s="366" t="s">
        <v>6</v>
      </c>
    </row>
    <row r="3" spans="1:7" ht="16.5" thickTop="1" thickBot="1" x14ac:dyDescent="0.3">
      <c r="A3" s="354" t="s">
        <v>16</v>
      </c>
      <c r="B3" s="355"/>
      <c r="C3" s="57">
        <f>559.93+(68.42*50%)</f>
        <v>594.14</v>
      </c>
      <c r="D3" s="54" t="s">
        <v>0</v>
      </c>
      <c r="E3" s="94"/>
      <c r="F3" s="95"/>
      <c r="G3" s="96">
        <f>G84/C3</f>
        <v>0</v>
      </c>
    </row>
    <row r="4" spans="1:7" ht="37.5" customHeight="1" thickTop="1" x14ac:dyDescent="0.25">
      <c r="A4" s="188" t="s">
        <v>263</v>
      </c>
      <c r="B4" s="297" t="s">
        <v>99</v>
      </c>
      <c r="C4" s="200" t="s">
        <v>2</v>
      </c>
      <c r="D4" s="201"/>
      <c r="E4" s="319">
        <v>1154.92</v>
      </c>
      <c r="F4" s="192">
        <v>0</v>
      </c>
      <c r="G4" s="193">
        <f t="shared" ref="G4:G6" si="0">SUM(F4*E4)</f>
        <v>0</v>
      </c>
    </row>
    <row r="5" spans="1:7" ht="37.5" customHeight="1" x14ac:dyDescent="0.25">
      <c r="A5" s="189" t="s">
        <v>264</v>
      </c>
      <c r="B5" s="298" t="s">
        <v>490</v>
      </c>
      <c r="C5" s="116" t="s">
        <v>2</v>
      </c>
      <c r="D5" s="117"/>
      <c r="E5" s="299">
        <v>542.80999999999995</v>
      </c>
      <c r="F5" s="151">
        <v>0</v>
      </c>
      <c r="G5" s="123">
        <f t="shared" si="0"/>
        <v>0</v>
      </c>
    </row>
    <row r="6" spans="1:7" ht="37.5" customHeight="1" x14ac:dyDescent="0.25">
      <c r="A6" s="189" t="s">
        <v>265</v>
      </c>
      <c r="B6" s="298" t="s">
        <v>29</v>
      </c>
      <c r="C6" s="116" t="s">
        <v>2</v>
      </c>
      <c r="D6" s="117"/>
      <c r="E6" s="299">
        <v>38.11</v>
      </c>
      <c r="F6" s="151">
        <v>0</v>
      </c>
      <c r="G6" s="123">
        <f t="shared" si="0"/>
        <v>0</v>
      </c>
    </row>
    <row r="7" spans="1:7" ht="37.5" customHeight="1" x14ac:dyDescent="0.25">
      <c r="A7" s="189" t="s">
        <v>266</v>
      </c>
      <c r="B7" s="300" t="s">
        <v>98</v>
      </c>
      <c r="C7" s="116" t="s">
        <v>2</v>
      </c>
      <c r="D7" s="117"/>
      <c r="E7" s="299">
        <v>235.65</v>
      </c>
      <c r="F7" s="151">
        <v>0</v>
      </c>
      <c r="G7" s="123">
        <f>SUM(F7*E7)</f>
        <v>0</v>
      </c>
    </row>
    <row r="8" spans="1:7" ht="30" customHeight="1" x14ac:dyDescent="0.25">
      <c r="A8" s="307"/>
      <c r="B8" s="301" t="s">
        <v>616</v>
      </c>
      <c r="C8" s="302" t="s">
        <v>2</v>
      </c>
      <c r="D8" s="303"/>
      <c r="E8" s="304">
        <v>55.7</v>
      </c>
      <c r="F8" s="305">
        <v>0</v>
      </c>
      <c r="G8" s="318"/>
    </row>
    <row r="9" spans="1:7" ht="30" customHeight="1" x14ac:dyDescent="0.25">
      <c r="A9" s="307"/>
      <c r="B9" s="301" t="s">
        <v>617</v>
      </c>
      <c r="C9" s="302" t="s">
        <v>2</v>
      </c>
      <c r="D9" s="303"/>
      <c r="E9" s="304">
        <v>129.19</v>
      </c>
      <c r="F9" s="305">
        <v>0</v>
      </c>
      <c r="G9" s="318"/>
    </row>
    <row r="10" spans="1:7" ht="30" customHeight="1" x14ac:dyDescent="0.25">
      <c r="A10" s="307"/>
      <c r="B10" s="301" t="s">
        <v>618</v>
      </c>
      <c r="C10" s="302" t="s">
        <v>2</v>
      </c>
      <c r="D10" s="303"/>
      <c r="E10" s="304">
        <v>22.79</v>
      </c>
      <c r="F10" s="305">
        <v>0</v>
      </c>
      <c r="G10" s="318"/>
    </row>
    <row r="11" spans="1:7" ht="96.75" x14ac:dyDescent="0.25">
      <c r="A11" s="189" t="s">
        <v>267</v>
      </c>
      <c r="B11" s="135" t="s">
        <v>79</v>
      </c>
      <c r="C11" s="116" t="s">
        <v>0</v>
      </c>
      <c r="D11" s="117"/>
      <c r="E11" s="150">
        <f>68.42</f>
        <v>68.42</v>
      </c>
      <c r="F11" s="151">
        <v>0</v>
      </c>
      <c r="G11" s="123">
        <f t="shared" ref="G11:G15" si="1">SUM(F11*E11)</f>
        <v>0</v>
      </c>
    </row>
    <row r="12" spans="1:7" ht="96.75" x14ac:dyDescent="0.25">
      <c r="A12" s="189" t="s">
        <v>268</v>
      </c>
      <c r="B12" s="135" t="s">
        <v>30</v>
      </c>
      <c r="C12" s="116" t="s">
        <v>2</v>
      </c>
      <c r="D12" s="117"/>
      <c r="E12" s="150">
        <v>20.672000000000001</v>
      </c>
      <c r="F12" s="151">
        <v>0</v>
      </c>
      <c r="G12" s="123">
        <f t="shared" si="1"/>
        <v>0</v>
      </c>
    </row>
    <row r="13" spans="1:7" ht="96.75" x14ac:dyDescent="0.25">
      <c r="A13" s="189" t="s">
        <v>269</v>
      </c>
      <c r="B13" s="135" t="s">
        <v>31</v>
      </c>
      <c r="C13" s="116" t="s">
        <v>2</v>
      </c>
      <c r="D13" s="117"/>
      <c r="E13" s="150">
        <v>30.2</v>
      </c>
      <c r="F13" s="151">
        <v>0</v>
      </c>
      <c r="G13" s="123">
        <f t="shared" si="1"/>
        <v>0</v>
      </c>
    </row>
    <row r="14" spans="1:7" ht="108.75" x14ac:dyDescent="0.25">
      <c r="A14" s="189" t="s">
        <v>270</v>
      </c>
      <c r="B14" s="135" t="s">
        <v>32</v>
      </c>
      <c r="C14" s="116" t="s">
        <v>2</v>
      </c>
      <c r="D14" s="117"/>
      <c r="E14" s="150">
        <v>38.93</v>
      </c>
      <c r="F14" s="151">
        <v>0</v>
      </c>
      <c r="G14" s="123">
        <f t="shared" si="1"/>
        <v>0</v>
      </c>
    </row>
    <row r="15" spans="1:7" ht="144.75" x14ac:dyDescent="0.25">
      <c r="A15" s="189" t="s">
        <v>271</v>
      </c>
      <c r="B15" s="135" t="s">
        <v>34</v>
      </c>
      <c r="C15" s="116" t="s">
        <v>0</v>
      </c>
      <c r="D15" s="116"/>
      <c r="E15" s="150">
        <f>63.2238/0.2</f>
        <v>316.11899999999997</v>
      </c>
      <c r="F15" s="151">
        <v>0</v>
      </c>
      <c r="G15" s="123">
        <f t="shared" si="1"/>
        <v>0</v>
      </c>
    </row>
    <row r="16" spans="1:7" ht="156.75" x14ac:dyDescent="0.25">
      <c r="A16" s="189" t="s">
        <v>272</v>
      </c>
      <c r="B16" s="135" t="s">
        <v>38</v>
      </c>
      <c r="C16" s="116" t="s">
        <v>0</v>
      </c>
      <c r="D16" s="116"/>
      <c r="E16" s="150">
        <f>4.5*2.6</f>
        <v>11.700000000000001</v>
      </c>
      <c r="F16" s="151">
        <v>0</v>
      </c>
      <c r="G16" s="123">
        <f t="shared" ref="G16:G31" si="2">SUM(F16*E16)</f>
        <v>0</v>
      </c>
    </row>
    <row r="17" spans="1:7" ht="96.75" x14ac:dyDescent="0.25">
      <c r="A17" s="189" t="s">
        <v>273</v>
      </c>
      <c r="B17" s="135" t="s">
        <v>40</v>
      </c>
      <c r="C17" s="116"/>
      <c r="D17" s="116"/>
      <c r="E17" s="150"/>
      <c r="F17" s="151"/>
      <c r="G17" s="123"/>
    </row>
    <row r="18" spans="1:7" x14ac:dyDescent="0.25">
      <c r="A18" s="189" t="s">
        <v>425</v>
      </c>
      <c r="B18" s="135" t="s">
        <v>451</v>
      </c>
      <c r="C18" s="116" t="s">
        <v>3</v>
      </c>
      <c r="D18" s="116"/>
      <c r="E18" s="150">
        <v>1</v>
      </c>
      <c r="F18" s="151">
        <v>0</v>
      </c>
      <c r="G18" s="123">
        <f t="shared" si="2"/>
        <v>0</v>
      </c>
    </row>
    <row r="19" spans="1:7" x14ac:dyDescent="0.25">
      <c r="A19" s="189" t="s">
        <v>426</v>
      </c>
      <c r="B19" s="135" t="s">
        <v>452</v>
      </c>
      <c r="C19" s="116" t="s">
        <v>3</v>
      </c>
      <c r="D19" s="116"/>
      <c r="E19" s="150">
        <v>1</v>
      </c>
      <c r="F19" s="151">
        <v>0</v>
      </c>
      <c r="G19" s="123">
        <f t="shared" si="2"/>
        <v>0</v>
      </c>
    </row>
    <row r="20" spans="1:7" x14ac:dyDescent="0.25">
      <c r="A20" s="189" t="s">
        <v>427</v>
      </c>
      <c r="B20" s="135" t="s">
        <v>453</v>
      </c>
      <c r="C20" s="116" t="s">
        <v>3</v>
      </c>
      <c r="D20" s="117"/>
      <c r="E20" s="150">
        <v>1</v>
      </c>
      <c r="F20" s="151">
        <v>0</v>
      </c>
      <c r="G20" s="123">
        <f t="shared" si="2"/>
        <v>0</v>
      </c>
    </row>
    <row r="21" spans="1:7" ht="96.75" x14ac:dyDescent="0.25">
      <c r="A21" s="189" t="s">
        <v>274</v>
      </c>
      <c r="B21" s="139" t="s">
        <v>39</v>
      </c>
      <c r="C21" s="116" t="s">
        <v>3</v>
      </c>
      <c r="D21" s="117"/>
      <c r="E21" s="150">
        <v>6</v>
      </c>
      <c r="F21" s="151">
        <v>0</v>
      </c>
      <c r="G21" s="123">
        <f t="shared" si="2"/>
        <v>0</v>
      </c>
    </row>
    <row r="22" spans="1:7" ht="72.75" x14ac:dyDescent="0.25">
      <c r="A22" s="189" t="s">
        <v>275</v>
      </c>
      <c r="B22" s="139" t="s">
        <v>24</v>
      </c>
      <c r="C22" s="116" t="s">
        <v>3</v>
      </c>
      <c r="D22" s="117"/>
      <c r="E22" s="150">
        <v>2</v>
      </c>
      <c r="F22" s="151">
        <v>0</v>
      </c>
      <c r="G22" s="123">
        <f>SUM(F22*E22)</f>
        <v>0</v>
      </c>
    </row>
    <row r="23" spans="1:7" ht="84.75" x14ac:dyDescent="0.25">
      <c r="A23" s="189" t="s">
        <v>276</v>
      </c>
      <c r="B23" s="139" t="s">
        <v>47</v>
      </c>
      <c r="C23" s="116" t="s">
        <v>0</v>
      </c>
      <c r="D23" s="117"/>
      <c r="E23" s="150">
        <f>(31.1*2*1.2)+(15.8*1*1.2)</f>
        <v>93.6</v>
      </c>
      <c r="F23" s="151">
        <v>0</v>
      </c>
      <c r="G23" s="123">
        <f>SUM(F23*E23)</f>
        <v>0</v>
      </c>
    </row>
    <row r="24" spans="1:7" ht="84.75" x14ac:dyDescent="0.25">
      <c r="A24" s="273" t="s">
        <v>277</v>
      </c>
      <c r="B24" s="139" t="s">
        <v>45</v>
      </c>
      <c r="C24" s="269" t="s">
        <v>0</v>
      </c>
      <c r="D24" s="270"/>
      <c r="E24" s="150">
        <v>0</v>
      </c>
      <c r="F24" s="151">
        <v>0</v>
      </c>
      <c r="G24" s="123">
        <f t="shared" si="2"/>
        <v>0</v>
      </c>
    </row>
    <row r="25" spans="1:7" ht="84.75" x14ac:dyDescent="0.25">
      <c r="A25" s="273" t="s">
        <v>278</v>
      </c>
      <c r="B25" s="135" t="s">
        <v>42</v>
      </c>
      <c r="C25" s="269" t="s">
        <v>0</v>
      </c>
      <c r="D25" s="270"/>
      <c r="E25" s="150">
        <f>E16*2+E15*2</f>
        <v>655.63799999999992</v>
      </c>
      <c r="F25" s="151">
        <v>0</v>
      </c>
      <c r="G25" s="123">
        <f t="shared" si="2"/>
        <v>0</v>
      </c>
    </row>
    <row r="26" spans="1:7" ht="60.75" x14ac:dyDescent="0.25">
      <c r="A26" s="273" t="s">
        <v>279</v>
      </c>
      <c r="B26" s="135" t="s">
        <v>106</v>
      </c>
      <c r="C26" s="269" t="s">
        <v>0</v>
      </c>
      <c r="D26" s="270"/>
      <c r="E26" s="150">
        <f>$C$3*0.95-E27</f>
        <v>547.73299999999995</v>
      </c>
      <c r="F26" s="151">
        <v>0</v>
      </c>
      <c r="G26" s="123">
        <f>SUM(F26*E26)</f>
        <v>0</v>
      </c>
    </row>
    <row r="27" spans="1:7" ht="72.75" x14ac:dyDescent="0.25">
      <c r="A27" s="273" t="s">
        <v>280</v>
      </c>
      <c r="B27" s="143" t="s">
        <v>466</v>
      </c>
      <c r="C27" s="269" t="s">
        <v>0</v>
      </c>
      <c r="D27" s="270"/>
      <c r="E27" s="208">
        <f>16.7</f>
        <v>16.7</v>
      </c>
      <c r="F27" s="151">
        <v>0</v>
      </c>
      <c r="G27" s="123">
        <f>SUM(F27*E27)</f>
        <v>0</v>
      </c>
    </row>
    <row r="28" spans="1:7" ht="96.75" x14ac:dyDescent="0.25">
      <c r="A28" s="273" t="s">
        <v>281</v>
      </c>
      <c r="B28" s="135" t="s">
        <v>44</v>
      </c>
      <c r="C28" s="269" t="s">
        <v>0</v>
      </c>
      <c r="D28" s="269"/>
      <c r="E28" s="150">
        <v>35.9</v>
      </c>
      <c r="F28" s="151">
        <v>0</v>
      </c>
      <c r="G28" s="123">
        <f>SUM(F28*E28)</f>
        <v>0</v>
      </c>
    </row>
    <row r="29" spans="1:7" ht="72.75" x14ac:dyDescent="0.25">
      <c r="A29" s="273" t="s">
        <v>282</v>
      </c>
      <c r="B29" s="135" t="s">
        <v>43</v>
      </c>
      <c r="C29" s="269" t="s">
        <v>0</v>
      </c>
      <c r="D29" s="270"/>
      <c r="E29" s="150">
        <f>E28</f>
        <v>35.9</v>
      </c>
      <c r="F29" s="151">
        <v>0</v>
      </c>
      <c r="G29" s="123">
        <f>SUM(F29*E29)</f>
        <v>0</v>
      </c>
    </row>
    <row r="30" spans="1:7" ht="72.75" x14ac:dyDescent="0.25">
      <c r="A30" s="273" t="s">
        <v>283</v>
      </c>
      <c r="B30" s="135" t="s">
        <v>41</v>
      </c>
      <c r="C30" s="269" t="s">
        <v>0</v>
      </c>
      <c r="D30" s="270"/>
      <c r="E30" s="150">
        <v>8.15</v>
      </c>
      <c r="F30" s="151">
        <v>0</v>
      </c>
      <c r="G30" s="123">
        <f>SUM(F30*E30)</f>
        <v>0</v>
      </c>
    </row>
    <row r="31" spans="1:7" ht="60.75" x14ac:dyDescent="0.25">
      <c r="A31" s="273" t="s">
        <v>284</v>
      </c>
      <c r="B31" s="135" t="s">
        <v>37</v>
      </c>
      <c r="C31" s="269" t="s">
        <v>0</v>
      </c>
      <c r="D31" s="269"/>
      <c r="E31" s="150">
        <f>(3)*2.6</f>
        <v>7.8000000000000007</v>
      </c>
      <c r="F31" s="151">
        <v>0</v>
      </c>
      <c r="G31" s="123">
        <f t="shared" si="2"/>
        <v>0</v>
      </c>
    </row>
    <row r="32" spans="1:7" ht="120.75" x14ac:dyDescent="0.25">
      <c r="A32" s="273" t="s">
        <v>285</v>
      </c>
      <c r="B32" s="135" t="s">
        <v>35</v>
      </c>
      <c r="C32" s="269" t="s">
        <v>0</v>
      </c>
      <c r="D32" s="270"/>
      <c r="E32" s="150">
        <v>552.12</v>
      </c>
      <c r="F32" s="203">
        <v>0</v>
      </c>
      <c r="G32" s="123">
        <f>SUM(F32*E32)</f>
        <v>0</v>
      </c>
    </row>
    <row r="33" spans="1:20" ht="97.5" thickBot="1" x14ac:dyDescent="0.3">
      <c r="A33" s="273" t="s">
        <v>286</v>
      </c>
      <c r="B33" s="142" t="s">
        <v>36</v>
      </c>
      <c r="C33" s="288" t="s">
        <v>0</v>
      </c>
      <c r="D33" s="289"/>
      <c r="E33" s="196">
        <f>E32*1.04</f>
        <v>574.20479999999998</v>
      </c>
      <c r="F33" s="197">
        <v>0</v>
      </c>
      <c r="G33" s="198">
        <f>SUM(F33*E33)</f>
        <v>0</v>
      </c>
    </row>
    <row r="34" spans="1:20" s="8" customFormat="1" ht="181.5" thickTop="1" x14ac:dyDescent="0.25">
      <c r="A34" s="257" t="s">
        <v>287</v>
      </c>
      <c r="B34" s="258" t="s">
        <v>610</v>
      </c>
      <c r="C34" s="249" t="s">
        <v>80</v>
      </c>
      <c r="D34" s="249"/>
      <c r="E34" s="215">
        <v>1</v>
      </c>
      <c r="F34" s="216">
        <v>0</v>
      </c>
      <c r="G34" s="217">
        <f t="shared" ref="G34" si="3">SUM(F34*E34)</f>
        <v>0</v>
      </c>
    </row>
    <row r="35" spans="1:20" s="8" customFormat="1" ht="89.25" x14ac:dyDescent="0.25">
      <c r="A35" s="259"/>
      <c r="B35" s="140" t="s">
        <v>559</v>
      </c>
      <c r="C35" s="260" t="s">
        <v>95</v>
      </c>
      <c r="D35" s="260"/>
      <c r="E35" s="261">
        <v>20</v>
      </c>
      <c r="F35" s="262">
        <v>0</v>
      </c>
      <c r="G35" s="263"/>
      <c r="I35" s="222"/>
      <c r="J35" s="222"/>
      <c r="K35" s="222"/>
      <c r="L35" s="222"/>
      <c r="M35" s="222"/>
      <c r="N35" s="222"/>
      <c r="O35" s="222"/>
      <c r="P35" s="222"/>
      <c r="Q35" s="222"/>
      <c r="R35" s="222"/>
      <c r="S35" s="7"/>
      <c r="T35" s="7"/>
    </row>
    <row r="36" spans="1:20" s="8" customFormat="1" ht="114.75" x14ac:dyDescent="0.25">
      <c r="A36" s="259"/>
      <c r="B36" s="140" t="s">
        <v>503</v>
      </c>
      <c r="C36" s="260" t="s">
        <v>95</v>
      </c>
      <c r="D36" s="260"/>
      <c r="E36" s="261">
        <v>7</v>
      </c>
      <c r="F36" s="262">
        <v>0</v>
      </c>
      <c r="G36" s="263"/>
      <c r="I36" s="222"/>
      <c r="J36" s="222"/>
      <c r="K36" s="222"/>
      <c r="L36" s="222"/>
      <c r="M36" s="222"/>
      <c r="N36" s="222"/>
      <c r="O36" s="222"/>
      <c r="P36" s="222"/>
      <c r="Q36" s="222"/>
      <c r="R36" s="222"/>
      <c r="S36" s="7"/>
      <c r="T36" s="7"/>
    </row>
    <row r="37" spans="1:20" s="8" customFormat="1" ht="114.75" x14ac:dyDescent="0.25">
      <c r="A37" s="259"/>
      <c r="B37" s="140" t="s">
        <v>504</v>
      </c>
      <c r="C37" s="260" t="s">
        <v>95</v>
      </c>
      <c r="D37" s="260"/>
      <c r="E37" s="261">
        <v>29</v>
      </c>
      <c r="F37" s="262">
        <v>0</v>
      </c>
      <c r="G37" s="263"/>
      <c r="I37" s="222"/>
      <c r="J37" s="222"/>
      <c r="K37" s="222"/>
      <c r="L37" s="222"/>
      <c r="M37" s="222"/>
      <c r="N37" s="222"/>
      <c r="O37" s="222"/>
      <c r="P37" s="222"/>
      <c r="Q37" s="222"/>
      <c r="R37" s="222"/>
      <c r="S37" s="7"/>
      <c r="T37" s="7"/>
    </row>
    <row r="38" spans="1:20" s="8" customFormat="1" ht="51" x14ac:dyDescent="0.25">
      <c r="A38" s="259"/>
      <c r="B38" s="139" t="s">
        <v>511</v>
      </c>
      <c r="C38" s="260" t="s">
        <v>95</v>
      </c>
      <c r="D38" s="260"/>
      <c r="E38" s="261">
        <v>4</v>
      </c>
      <c r="F38" s="262">
        <v>0</v>
      </c>
      <c r="G38" s="263"/>
      <c r="I38" s="222"/>
      <c r="J38" s="222"/>
      <c r="K38" s="222"/>
      <c r="L38" s="222"/>
      <c r="M38" s="222"/>
      <c r="N38" s="222"/>
      <c r="O38" s="222"/>
      <c r="P38" s="222"/>
      <c r="Q38" s="222"/>
      <c r="R38" s="222"/>
      <c r="S38" s="7"/>
      <c r="T38" s="7"/>
    </row>
    <row r="39" spans="1:20" s="8" customFormat="1" ht="51" x14ac:dyDescent="0.25">
      <c r="A39" s="259"/>
      <c r="B39" s="139" t="s">
        <v>512</v>
      </c>
      <c r="C39" s="260" t="s">
        <v>95</v>
      </c>
      <c r="D39" s="260"/>
      <c r="E39" s="261">
        <v>0</v>
      </c>
      <c r="F39" s="262">
        <v>0</v>
      </c>
      <c r="G39" s="263"/>
      <c r="I39" s="222"/>
      <c r="J39" s="222"/>
      <c r="K39" s="222"/>
      <c r="L39" s="222"/>
      <c r="M39" s="222"/>
      <c r="N39" s="222"/>
      <c r="O39" s="222"/>
      <c r="P39" s="222"/>
      <c r="Q39" s="222"/>
      <c r="R39" s="222"/>
      <c r="S39" s="7"/>
      <c r="T39" s="7"/>
    </row>
    <row r="40" spans="1:20" s="8" customFormat="1" ht="51" x14ac:dyDescent="0.25">
      <c r="A40" s="259"/>
      <c r="B40" s="139" t="s">
        <v>513</v>
      </c>
      <c r="C40" s="260" t="s">
        <v>95</v>
      </c>
      <c r="D40" s="260"/>
      <c r="E40" s="261">
        <v>0</v>
      </c>
      <c r="F40" s="262">
        <v>0</v>
      </c>
      <c r="G40" s="263"/>
      <c r="I40" s="222"/>
      <c r="J40" s="222"/>
      <c r="K40" s="222"/>
      <c r="L40" s="222"/>
      <c r="M40" s="222"/>
      <c r="N40" s="222"/>
      <c r="O40" s="222"/>
      <c r="P40" s="222"/>
      <c r="Q40" s="222"/>
      <c r="R40" s="222"/>
      <c r="S40" s="7"/>
      <c r="T40" s="7"/>
    </row>
    <row r="41" spans="1:20" s="8" customFormat="1" ht="51" x14ac:dyDescent="0.25">
      <c r="A41" s="259"/>
      <c r="B41" s="139" t="s">
        <v>514</v>
      </c>
      <c r="C41" s="260" t="s">
        <v>95</v>
      </c>
      <c r="D41" s="260"/>
      <c r="E41" s="261">
        <v>20</v>
      </c>
      <c r="F41" s="262">
        <v>0</v>
      </c>
      <c r="G41" s="263"/>
      <c r="I41" s="222"/>
      <c r="J41" s="222"/>
      <c r="K41" s="222"/>
      <c r="L41" s="222"/>
      <c r="M41" s="222"/>
      <c r="N41" s="222"/>
      <c r="O41" s="222"/>
      <c r="P41" s="222"/>
      <c r="Q41" s="222"/>
      <c r="R41" s="222"/>
      <c r="S41" s="7"/>
      <c r="T41" s="7"/>
    </row>
    <row r="42" spans="1:20" s="8" customFormat="1" ht="25.5" x14ac:dyDescent="0.25">
      <c r="A42" s="259"/>
      <c r="B42" s="140" t="s">
        <v>505</v>
      </c>
      <c r="C42" s="260" t="s">
        <v>95</v>
      </c>
      <c r="D42" s="260"/>
      <c r="E42" s="261">
        <v>2</v>
      </c>
      <c r="F42" s="262">
        <v>0</v>
      </c>
      <c r="G42" s="263"/>
      <c r="I42" s="222"/>
      <c r="J42" s="222"/>
      <c r="K42" s="222"/>
      <c r="L42" s="222"/>
      <c r="M42" s="222"/>
      <c r="N42" s="222"/>
      <c r="O42" s="222"/>
      <c r="P42" s="222"/>
      <c r="Q42" s="222"/>
      <c r="R42" s="222"/>
      <c r="S42" s="7"/>
      <c r="T42" s="7"/>
    </row>
    <row r="43" spans="1:20" s="8" customFormat="1" ht="25.5" x14ac:dyDescent="0.25">
      <c r="A43" s="259"/>
      <c r="B43" s="140" t="s">
        <v>545</v>
      </c>
      <c r="C43" s="260" t="s">
        <v>95</v>
      </c>
      <c r="D43" s="260"/>
      <c r="E43" s="261">
        <v>5</v>
      </c>
      <c r="F43" s="262">
        <v>0</v>
      </c>
      <c r="G43" s="263"/>
      <c r="I43" s="222"/>
      <c r="J43" s="222"/>
      <c r="K43" s="222"/>
      <c r="L43" s="222"/>
      <c r="M43" s="222"/>
      <c r="N43" s="222"/>
      <c r="O43" s="222"/>
      <c r="P43" s="222"/>
      <c r="Q43" s="222"/>
      <c r="R43" s="222"/>
      <c r="S43" s="7"/>
      <c r="T43" s="7"/>
    </row>
    <row r="44" spans="1:20" s="8" customFormat="1" ht="25.5" x14ac:dyDescent="0.25">
      <c r="A44" s="259"/>
      <c r="B44" s="140" t="s">
        <v>507</v>
      </c>
      <c r="C44" s="260" t="s">
        <v>95</v>
      </c>
      <c r="D44" s="260"/>
      <c r="E44" s="261">
        <v>11</v>
      </c>
      <c r="F44" s="262">
        <v>0</v>
      </c>
      <c r="G44" s="263"/>
      <c r="I44" s="222"/>
      <c r="J44" s="222"/>
      <c r="K44" s="222"/>
      <c r="L44" s="222"/>
      <c r="M44" s="222"/>
      <c r="N44" s="222"/>
      <c r="O44" s="222"/>
      <c r="P44" s="222"/>
      <c r="Q44" s="222"/>
      <c r="R44" s="222"/>
      <c r="S44" s="7"/>
      <c r="T44" s="7"/>
    </row>
    <row r="45" spans="1:20" s="8" customFormat="1" ht="25.5" x14ac:dyDescent="0.25">
      <c r="A45" s="259"/>
      <c r="B45" s="140" t="s">
        <v>509</v>
      </c>
      <c r="C45" s="260" t="s">
        <v>95</v>
      </c>
      <c r="D45" s="260"/>
      <c r="E45" s="261">
        <v>1</v>
      </c>
      <c r="F45" s="262">
        <v>0</v>
      </c>
      <c r="G45" s="263"/>
      <c r="I45" s="222"/>
      <c r="J45" s="222"/>
      <c r="K45" s="222"/>
      <c r="L45" s="222"/>
      <c r="M45" s="222"/>
      <c r="N45" s="222"/>
      <c r="O45" s="222"/>
      <c r="P45" s="222"/>
      <c r="Q45" s="222"/>
      <c r="R45" s="222"/>
      <c r="S45" s="7"/>
      <c r="T45" s="7"/>
    </row>
    <row r="46" spans="1:20" s="8" customFormat="1" ht="51" x14ac:dyDescent="0.25">
      <c r="A46" s="296"/>
      <c r="B46" s="140" t="s">
        <v>560</v>
      </c>
      <c r="C46" s="260" t="s">
        <v>95</v>
      </c>
      <c r="D46" s="260"/>
      <c r="E46" s="261">
        <v>18</v>
      </c>
      <c r="F46" s="262">
        <v>0</v>
      </c>
      <c r="G46" s="263"/>
      <c r="I46" s="222"/>
      <c r="J46" s="222"/>
      <c r="K46" s="222"/>
      <c r="L46" s="222"/>
      <c r="M46" s="222"/>
      <c r="N46" s="222"/>
      <c r="O46" s="222"/>
      <c r="P46" s="222"/>
      <c r="Q46" s="222"/>
      <c r="R46" s="222"/>
      <c r="S46" s="7"/>
      <c r="T46" s="7"/>
    </row>
    <row r="47" spans="1:20" s="7" customFormat="1" ht="51" x14ac:dyDescent="0.25">
      <c r="A47" s="259"/>
      <c r="B47" s="140" t="s">
        <v>539</v>
      </c>
      <c r="C47" s="260" t="s">
        <v>80</v>
      </c>
      <c r="D47" s="260"/>
      <c r="E47" s="261">
        <v>1</v>
      </c>
      <c r="F47" s="262">
        <v>0</v>
      </c>
      <c r="G47" s="263"/>
      <c r="I47" s="222"/>
      <c r="J47" s="222"/>
      <c r="K47" s="222"/>
      <c r="L47" s="222"/>
      <c r="M47" s="222"/>
      <c r="N47" s="222"/>
      <c r="O47" s="222"/>
      <c r="P47" s="222"/>
      <c r="Q47" s="222"/>
      <c r="R47" s="222"/>
    </row>
    <row r="48" spans="1:20" s="7" customFormat="1" ht="76.5" x14ac:dyDescent="0.25">
      <c r="A48" s="259"/>
      <c r="B48" s="140" t="s">
        <v>542</v>
      </c>
      <c r="C48" s="260" t="s">
        <v>80</v>
      </c>
      <c r="D48" s="260"/>
      <c r="E48" s="261">
        <v>1</v>
      </c>
      <c r="F48" s="262">
        <v>0</v>
      </c>
      <c r="G48" s="263"/>
      <c r="I48" s="222"/>
      <c r="J48" s="222"/>
      <c r="K48" s="222"/>
      <c r="L48" s="222"/>
      <c r="M48" s="222"/>
      <c r="N48" s="222"/>
      <c r="O48" s="222"/>
      <c r="P48" s="222"/>
      <c r="Q48" s="222"/>
      <c r="R48" s="222"/>
    </row>
    <row r="49" spans="1:20" s="7" customFormat="1" ht="63.75" x14ac:dyDescent="0.25">
      <c r="A49" s="259"/>
      <c r="B49" s="139" t="s">
        <v>541</v>
      </c>
      <c r="C49" s="260" t="s">
        <v>95</v>
      </c>
      <c r="D49" s="260"/>
      <c r="E49" s="261">
        <v>1</v>
      </c>
      <c r="F49" s="262">
        <v>0</v>
      </c>
      <c r="G49" s="263"/>
      <c r="I49" s="222"/>
      <c r="J49" s="222"/>
      <c r="K49" s="222"/>
      <c r="L49" s="222"/>
      <c r="M49" s="222"/>
      <c r="N49" s="222"/>
      <c r="O49" s="222"/>
      <c r="P49" s="222"/>
      <c r="Q49" s="222"/>
      <c r="R49" s="222"/>
    </row>
    <row r="50" spans="1:20" s="7" customFormat="1" ht="16.5" x14ac:dyDescent="0.25">
      <c r="A50" s="259"/>
      <c r="B50" s="140" t="s">
        <v>506</v>
      </c>
      <c r="C50" s="260" t="s">
        <v>80</v>
      </c>
      <c r="D50" s="260"/>
      <c r="E50" s="261">
        <v>1</v>
      </c>
      <c r="F50" s="262">
        <v>0</v>
      </c>
      <c r="G50" s="263"/>
      <c r="I50" s="222"/>
      <c r="J50" s="222"/>
      <c r="K50" s="222"/>
      <c r="L50" s="222"/>
      <c r="M50" s="222"/>
      <c r="N50" s="222"/>
      <c r="O50" s="222"/>
      <c r="P50" s="222"/>
      <c r="Q50" s="222"/>
      <c r="R50" s="222"/>
    </row>
    <row r="51" spans="1:20" s="7" customFormat="1" ht="64.5" thickBot="1" x14ac:dyDescent="0.3">
      <c r="A51" s="259"/>
      <c r="B51" s="140" t="s">
        <v>515</v>
      </c>
      <c r="C51" s="260" t="s">
        <v>80</v>
      </c>
      <c r="D51" s="260"/>
      <c r="E51" s="261">
        <v>1</v>
      </c>
      <c r="F51" s="262">
        <v>0</v>
      </c>
      <c r="G51" s="263"/>
      <c r="I51" s="222"/>
      <c r="J51" s="222"/>
      <c r="K51" s="222"/>
      <c r="L51" s="222"/>
      <c r="M51" s="222"/>
      <c r="N51" s="222"/>
      <c r="O51" s="222"/>
      <c r="P51" s="222"/>
      <c r="Q51" s="222"/>
      <c r="R51" s="222"/>
    </row>
    <row r="52" spans="1:20" s="146" customFormat="1" ht="301.5" thickTop="1" x14ac:dyDescent="0.25">
      <c r="A52" s="267" t="s">
        <v>288</v>
      </c>
      <c r="B52" s="258" t="s">
        <v>611</v>
      </c>
      <c r="C52" s="249" t="s">
        <v>80</v>
      </c>
      <c r="D52" s="249"/>
      <c r="E52" s="215">
        <v>1</v>
      </c>
      <c r="F52" s="216">
        <v>0</v>
      </c>
      <c r="G52" s="217">
        <f>SUM(F52*E52)</f>
        <v>0</v>
      </c>
    </row>
    <row r="53" spans="1:20" s="7" customFormat="1" ht="16.5" x14ac:dyDescent="0.25">
      <c r="A53" s="259"/>
      <c r="B53" s="226" t="s">
        <v>531</v>
      </c>
      <c r="C53" s="260"/>
      <c r="D53" s="260"/>
      <c r="E53" s="261"/>
      <c r="F53" s="262"/>
      <c r="G53" s="263"/>
    </row>
    <row r="54" spans="1:20" s="8" customFormat="1" ht="63.75" x14ac:dyDescent="0.25">
      <c r="A54" s="259"/>
      <c r="B54" s="139" t="s">
        <v>530</v>
      </c>
      <c r="C54" s="260" t="s">
        <v>516</v>
      </c>
      <c r="D54" s="260"/>
      <c r="E54" s="261">
        <v>20</v>
      </c>
      <c r="F54" s="262">
        <v>0</v>
      </c>
      <c r="G54" s="263">
        <f t="shared" ref="G54:G56" si="4">E54*F54</f>
        <v>0</v>
      </c>
      <c r="I54" s="7"/>
      <c r="J54" s="7"/>
      <c r="K54" s="7"/>
      <c r="L54" s="7"/>
      <c r="M54" s="7"/>
      <c r="N54" s="7"/>
      <c r="O54" s="7"/>
      <c r="P54" s="7"/>
      <c r="Q54" s="7"/>
      <c r="R54" s="7"/>
      <c r="S54" s="7"/>
      <c r="T54" s="7"/>
    </row>
    <row r="55" spans="1:20" s="8" customFormat="1" ht="38.25" x14ac:dyDescent="0.25">
      <c r="A55" s="259"/>
      <c r="B55" s="139" t="s">
        <v>527</v>
      </c>
      <c r="C55" s="260" t="s">
        <v>80</v>
      </c>
      <c r="D55" s="260"/>
      <c r="E55" s="261">
        <v>1</v>
      </c>
      <c r="F55" s="262">
        <v>0</v>
      </c>
      <c r="G55" s="263">
        <f t="shared" si="4"/>
        <v>0</v>
      </c>
      <c r="I55" s="7"/>
      <c r="J55" s="7"/>
      <c r="K55" s="7"/>
      <c r="L55" s="7"/>
      <c r="M55" s="7"/>
      <c r="N55" s="7"/>
      <c r="O55" s="7"/>
      <c r="P55" s="7"/>
      <c r="Q55" s="7"/>
      <c r="R55" s="7"/>
      <c r="S55" s="7"/>
      <c r="T55" s="7"/>
    </row>
    <row r="56" spans="1:20" s="8" customFormat="1" ht="16.5" x14ac:dyDescent="0.25">
      <c r="A56" s="259"/>
      <c r="B56" s="140" t="s">
        <v>526</v>
      </c>
      <c r="C56" s="260" t="s">
        <v>80</v>
      </c>
      <c r="D56" s="260"/>
      <c r="E56" s="261">
        <v>1</v>
      </c>
      <c r="F56" s="262">
        <v>0</v>
      </c>
      <c r="G56" s="263">
        <f t="shared" si="4"/>
        <v>0</v>
      </c>
      <c r="I56" s="7"/>
      <c r="J56" s="7"/>
      <c r="K56" s="7"/>
      <c r="L56" s="7"/>
      <c r="M56" s="7"/>
      <c r="N56" s="7"/>
      <c r="O56" s="7"/>
      <c r="P56" s="7"/>
      <c r="Q56" s="7"/>
      <c r="R56" s="7"/>
      <c r="S56" s="7"/>
      <c r="T56" s="7"/>
    </row>
    <row r="57" spans="1:20" s="7" customFormat="1" ht="16.5" x14ac:dyDescent="0.25">
      <c r="A57" s="259"/>
      <c r="B57" s="226" t="s">
        <v>517</v>
      </c>
      <c r="C57" s="260"/>
      <c r="D57" s="260"/>
      <c r="E57" s="261"/>
      <c r="F57" s="262"/>
      <c r="G57" s="263"/>
    </row>
    <row r="58" spans="1:20" s="7" customFormat="1" ht="25.5" x14ac:dyDescent="0.25">
      <c r="A58" s="259"/>
      <c r="B58" s="140" t="s">
        <v>528</v>
      </c>
      <c r="C58" s="260" t="s">
        <v>95</v>
      </c>
      <c r="D58" s="260"/>
      <c r="E58" s="261">
        <v>1</v>
      </c>
      <c r="F58" s="262">
        <v>0</v>
      </c>
      <c r="G58" s="263">
        <f t="shared" ref="G58:G62" si="5">E58*F58</f>
        <v>0</v>
      </c>
    </row>
    <row r="59" spans="1:20" s="8" customFormat="1" ht="25.5" x14ac:dyDescent="0.25">
      <c r="A59" s="268"/>
      <c r="B59" s="139" t="s">
        <v>529</v>
      </c>
      <c r="C59" s="260" t="s">
        <v>95</v>
      </c>
      <c r="D59" s="260"/>
      <c r="E59" s="261">
        <v>1</v>
      </c>
      <c r="F59" s="262">
        <v>0</v>
      </c>
      <c r="G59" s="263">
        <f t="shared" si="5"/>
        <v>0</v>
      </c>
    </row>
    <row r="60" spans="1:20" s="8" customFormat="1" ht="38.25" x14ac:dyDescent="0.25">
      <c r="A60" s="268"/>
      <c r="B60" s="139" t="s">
        <v>524</v>
      </c>
      <c r="C60" s="260" t="s">
        <v>95</v>
      </c>
      <c r="D60" s="260"/>
      <c r="E60" s="261">
        <v>1</v>
      </c>
      <c r="F60" s="262">
        <v>0</v>
      </c>
      <c r="G60" s="263">
        <f t="shared" si="5"/>
        <v>0</v>
      </c>
    </row>
    <row r="61" spans="1:20" s="8" customFormat="1" ht="25.5" x14ac:dyDescent="0.25">
      <c r="A61" s="268"/>
      <c r="B61" s="139" t="s">
        <v>521</v>
      </c>
      <c r="C61" s="260" t="s">
        <v>95</v>
      </c>
      <c r="D61" s="260"/>
      <c r="E61" s="261">
        <v>1</v>
      </c>
      <c r="F61" s="262">
        <v>0</v>
      </c>
      <c r="G61" s="263">
        <f t="shared" si="5"/>
        <v>0</v>
      </c>
    </row>
    <row r="62" spans="1:20" s="8" customFormat="1" ht="76.5" x14ac:dyDescent="0.25">
      <c r="A62" s="268"/>
      <c r="B62" s="139" t="s">
        <v>538</v>
      </c>
      <c r="C62" s="260" t="s">
        <v>95</v>
      </c>
      <c r="D62" s="260"/>
      <c r="E62" s="261">
        <v>1</v>
      </c>
      <c r="F62" s="262">
        <v>0</v>
      </c>
      <c r="G62" s="263">
        <f t="shared" si="5"/>
        <v>0</v>
      </c>
    </row>
    <row r="63" spans="1:20" s="8" customFormat="1" ht="16.5" x14ac:dyDescent="0.25">
      <c r="A63" s="268"/>
      <c r="B63" s="226" t="s">
        <v>518</v>
      </c>
      <c r="C63" s="260"/>
      <c r="D63" s="260"/>
      <c r="E63" s="261"/>
      <c r="F63" s="262"/>
      <c r="G63" s="263"/>
    </row>
    <row r="64" spans="1:20" s="8" customFormat="1" ht="51" x14ac:dyDescent="0.25">
      <c r="A64" s="268"/>
      <c r="B64" s="139" t="s">
        <v>532</v>
      </c>
      <c r="C64" s="260" t="s">
        <v>516</v>
      </c>
      <c r="D64" s="260"/>
      <c r="E64" s="261">
        <v>2</v>
      </c>
      <c r="F64" s="262">
        <v>0</v>
      </c>
      <c r="G64" s="263">
        <f t="shared" ref="G64:G68" si="6">E64*F64</f>
        <v>0</v>
      </c>
    </row>
    <row r="65" spans="1:18" s="8" customFormat="1" ht="51" x14ac:dyDescent="0.25">
      <c r="A65" s="268"/>
      <c r="B65" s="139" t="s">
        <v>533</v>
      </c>
      <c r="C65" s="260" t="s">
        <v>516</v>
      </c>
      <c r="D65" s="260"/>
      <c r="E65" s="261">
        <v>3</v>
      </c>
      <c r="F65" s="262">
        <v>0</v>
      </c>
      <c r="G65" s="263">
        <f t="shared" si="6"/>
        <v>0</v>
      </c>
    </row>
    <row r="66" spans="1:18" s="8" customFormat="1" ht="51" x14ac:dyDescent="0.25">
      <c r="A66" s="268"/>
      <c r="B66" s="139" t="s">
        <v>534</v>
      </c>
      <c r="C66" s="260" t="s">
        <v>516</v>
      </c>
      <c r="D66" s="260"/>
      <c r="E66" s="261">
        <v>2</v>
      </c>
      <c r="F66" s="262">
        <v>0</v>
      </c>
      <c r="G66" s="263">
        <f t="shared" si="6"/>
        <v>0</v>
      </c>
    </row>
    <row r="67" spans="1:18" s="8" customFormat="1" ht="38.25" x14ac:dyDescent="0.25">
      <c r="A67" s="268"/>
      <c r="B67" s="139" t="s">
        <v>527</v>
      </c>
      <c r="C67" s="260" t="s">
        <v>80</v>
      </c>
      <c r="D67" s="260"/>
      <c r="E67" s="261">
        <v>1</v>
      </c>
      <c r="F67" s="262">
        <v>0</v>
      </c>
      <c r="G67" s="263">
        <f t="shared" si="6"/>
        <v>0</v>
      </c>
    </row>
    <row r="68" spans="1:18" s="8" customFormat="1" ht="16.5" x14ac:dyDescent="0.25">
      <c r="A68" s="268"/>
      <c r="B68" s="140" t="s">
        <v>526</v>
      </c>
      <c r="C68" s="260" t="s">
        <v>80</v>
      </c>
      <c r="D68" s="260"/>
      <c r="E68" s="261">
        <v>1</v>
      </c>
      <c r="F68" s="262">
        <v>0</v>
      </c>
      <c r="G68" s="263">
        <f t="shared" si="6"/>
        <v>0</v>
      </c>
    </row>
    <row r="69" spans="1:18" s="8" customFormat="1" ht="16.5" x14ac:dyDescent="0.25">
      <c r="A69" s="268"/>
      <c r="B69" s="226" t="s">
        <v>519</v>
      </c>
      <c r="C69" s="260"/>
      <c r="D69" s="260"/>
      <c r="E69" s="261"/>
      <c r="F69" s="262"/>
      <c r="G69" s="263"/>
    </row>
    <row r="70" spans="1:18" s="8" customFormat="1" ht="38.25" x14ac:dyDescent="0.25">
      <c r="A70" s="268"/>
      <c r="B70" s="139" t="s">
        <v>540</v>
      </c>
      <c r="C70" s="260" t="s">
        <v>516</v>
      </c>
      <c r="D70" s="260"/>
      <c r="E70" s="261">
        <f>22*4+7*4.5*2+16*2</f>
        <v>183</v>
      </c>
      <c r="F70" s="262">
        <v>0</v>
      </c>
      <c r="G70" s="263">
        <f t="shared" ref="G70:G74" si="7">E70*F70</f>
        <v>0</v>
      </c>
    </row>
    <row r="71" spans="1:18" s="8" customFormat="1" ht="38.25" x14ac:dyDescent="0.25">
      <c r="A71" s="268"/>
      <c r="B71" s="139" t="s">
        <v>527</v>
      </c>
      <c r="C71" s="260" t="s">
        <v>80</v>
      </c>
      <c r="D71" s="260"/>
      <c r="E71" s="261">
        <v>1</v>
      </c>
      <c r="F71" s="262">
        <v>0</v>
      </c>
      <c r="G71" s="263">
        <f t="shared" si="7"/>
        <v>0</v>
      </c>
    </row>
    <row r="72" spans="1:18" s="8" customFormat="1" ht="16.5" x14ac:dyDescent="0.25">
      <c r="A72" s="268"/>
      <c r="B72" s="139" t="s">
        <v>520</v>
      </c>
      <c r="C72" s="260" t="s">
        <v>95</v>
      </c>
      <c r="D72" s="260"/>
      <c r="E72" s="261">
        <f>22*3</f>
        <v>66</v>
      </c>
      <c r="F72" s="262">
        <v>0</v>
      </c>
      <c r="G72" s="263">
        <f t="shared" si="7"/>
        <v>0</v>
      </c>
    </row>
    <row r="73" spans="1:18" s="8" customFormat="1" ht="16.5" x14ac:dyDescent="0.25">
      <c r="A73" s="268"/>
      <c r="B73" s="139" t="s">
        <v>535</v>
      </c>
      <c r="C73" s="260" t="s">
        <v>95</v>
      </c>
      <c r="D73" s="260"/>
      <c r="E73" s="261">
        <f>7*4.5*2+16*2</f>
        <v>95</v>
      </c>
      <c r="F73" s="262">
        <v>0</v>
      </c>
      <c r="G73" s="263">
        <f t="shared" si="7"/>
        <v>0</v>
      </c>
    </row>
    <row r="74" spans="1:18" s="8" customFormat="1" ht="17.25" thickBot="1" x14ac:dyDescent="0.3">
      <c r="A74" s="268"/>
      <c r="B74" s="140" t="s">
        <v>526</v>
      </c>
      <c r="C74" s="260" t="s">
        <v>80</v>
      </c>
      <c r="D74" s="260"/>
      <c r="E74" s="261">
        <v>1</v>
      </c>
      <c r="F74" s="262">
        <v>0</v>
      </c>
      <c r="G74" s="263">
        <f t="shared" si="7"/>
        <v>0</v>
      </c>
    </row>
    <row r="75" spans="1:18" s="8" customFormat="1" ht="145.5" thickTop="1" x14ac:dyDescent="0.25">
      <c r="A75" s="257" t="s">
        <v>289</v>
      </c>
      <c r="B75" s="258" t="s">
        <v>612</v>
      </c>
      <c r="C75" s="249" t="s">
        <v>80</v>
      </c>
      <c r="D75" s="249"/>
      <c r="E75" s="215">
        <v>1</v>
      </c>
      <c r="F75" s="216">
        <v>0</v>
      </c>
      <c r="G75" s="217">
        <f>SUM(F75*E75)</f>
        <v>0</v>
      </c>
    </row>
    <row r="76" spans="1:18" s="7" customFormat="1" ht="63.75" x14ac:dyDescent="0.25">
      <c r="A76" s="259"/>
      <c r="B76" s="140" t="s">
        <v>543</v>
      </c>
      <c r="C76" s="260" t="s">
        <v>80</v>
      </c>
      <c r="D76" s="260"/>
      <c r="E76" s="261">
        <v>1</v>
      </c>
      <c r="F76" s="262">
        <v>0</v>
      </c>
      <c r="G76" s="263">
        <f t="shared" ref="G76:G80" si="8">E76*F76</f>
        <v>0</v>
      </c>
      <c r="I76" s="222"/>
      <c r="J76" s="222"/>
      <c r="K76" s="222"/>
      <c r="L76" s="222"/>
      <c r="M76" s="222"/>
      <c r="N76" s="222"/>
      <c r="O76" s="222"/>
      <c r="P76" s="222"/>
      <c r="Q76" s="222"/>
      <c r="R76" s="222"/>
    </row>
    <row r="77" spans="1:18" s="7" customFormat="1" ht="63.75" x14ac:dyDescent="0.25">
      <c r="A77" s="259"/>
      <c r="B77" s="140" t="s">
        <v>544</v>
      </c>
      <c r="C77" s="260" t="s">
        <v>80</v>
      </c>
      <c r="D77" s="260"/>
      <c r="E77" s="261">
        <v>1</v>
      </c>
      <c r="F77" s="262">
        <v>0</v>
      </c>
      <c r="G77" s="263">
        <f t="shared" si="8"/>
        <v>0</v>
      </c>
      <c r="I77" s="222"/>
      <c r="J77" s="222"/>
      <c r="K77" s="222"/>
      <c r="L77" s="222"/>
      <c r="M77" s="222"/>
      <c r="N77" s="222"/>
      <c r="O77" s="222"/>
      <c r="P77" s="222"/>
      <c r="Q77" s="222"/>
      <c r="R77" s="222"/>
    </row>
    <row r="78" spans="1:18" s="146" customFormat="1" ht="38.25" x14ac:dyDescent="0.25">
      <c r="A78" s="257"/>
      <c r="B78" s="274" t="s">
        <v>537</v>
      </c>
      <c r="C78" s="275" t="s">
        <v>95</v>
      </c>
      <c r="D78" s="275"/>
      <c r="E78" s="276">
        <v>1</v>
      </c>
      <c r="F78" s="262">
        <v>0</v>
      </c>
      <c r="G78" s="263">
        <f t="shared" si="8"/>
        <v>0</v>
      </c>
    </row>
    <row r="79" spans="1:18" s="146" customFormat="1" ht="63.75" x14ac:dyDescent="0.25">
      <c r="A79" s="257"/>
      <c r="B79" s="274" t="s">
        <v>553</v>
      </c>
      <c r="C79" s="275" t="s">
        <v>95</v>
      </c>
      <c r="D79" s="275"/>
      <c r="E79" s="276">
        <v>1</v>
      </c>
      <c r="F79" s="262">
        <v>0</v>
      </c>
      <c r="G79" s="263">
        <f t="shared" si="8"/>
        <v>0</v>
      </c>
    </row>
    <row r="80" spans="1:18" s="146" customFormat="1" ht="17.25" thickBot="1" x14ac:dyDescent="0.3">
      <c r="A80" s="257"/>
      <c r="B80" s="277" t="s">
        <v>526</v>
      </c>
      <c r="C80" s="278" t="s">
        <v>80</v>
      </c>
      <c r="D80" s="278"/>
      <c r="E80" s="279">
        <v>1</v>
      </c>
      <c r="F80" s="280">
        <v>0</v>
      </c>
      <c r="G80" s="281">
        <f t="shared" si="8"/>
        <v>0</v>
      </c>
    </row>
    <row r="81" spans="1:7" s="8" customFormat="1" ht="17.25" thickTop="1" x14ac:dyDescent="0.25">
      <c r="A81" s="273" t="s">
        <v>474</v>
      </c>
      <c r="B81" s="227" t="s">
        <v>438</v>
      </c>
      <c r="C81" s="249"/>
      <c r="D81" s="249"/>
      <c r="E81" s="250"/>
      <c r="F81" s="251"/>
      <c r="G81" s="291"/>
    </row>
    <row r="82" spans="1:7" s="8" customFormat="1" ht="16.5" x14ac:dyDescent="0.25">
      <c r="A82" s="273" t="s">
        <v>475</v>
      </c>
      <c r="B82" s="290" t="s">
        <v>14</v>
      </c>
      <c r="C82" s="164" t="s">
        <v>12</v>
      </c>
      <c r="D82" s="164"/>
      <c r="E82" s="292">
        <v>2</v>
      </c>
      <c r="F82" s="293">
        <v>0</v>
      </c>
      <c r="G82" s="294">
        <f>E82*F82</f>
        <v>0</v>
      </c>
    </row>
    <row r="83" spans="1:7" s="8" customFormat="1" ht="17.25" thickBot="1" x14ac:dyDescent="0.3">
      <c r="A83" s="189" t="s">
        <v>477</v>
      </c>
      <c r="B83" s="49" t="s">
        <v>13</v>
      </c>
      <c r="C83" s="157" t="s">
        <v>12</v>
      </c>
      <c r="D83" s="157"/>
      <c r="E83" s="158">
        <v>3</v>
      </c>
      <c r="F83" s="159">
        <v>0</v>
      </c>
      <c r="G83" s="160">
        <f>E83*F83</f>
        <v>0</v>
      </c>
    </row>
    <row r="84" spans="1:7" ht="16.5" thickTop="1" thickBot="1" x14ac:dyDescent="0.3">
      <c r="A84" s="186"/>
      <c r="B84" s="51"/>
      <c r="C84" s="52"/>
      <c r="D84" s="52"/>
      <c r="E84" s="97"/>
      <c r="F84" s="98"/>
      <c r="G84" s="99">
        <f>SUM(G11:G83)</f>
        <v>0</v>
      </c>
    </row>
    <row r="85" spans="1:7" ht="15.75" thickTop="1" x14ac:dyDescent="0.25">
      <c r="F85" s="100"/>
    </row>
    <row r="86" spans="1:7" x14ac:dyDescent="0.25">
      <c r="A86" s="187"/>
      <c r="B86" s="5"/>
    </row>
    <row r="87" spans="1:7" x14ac:dyDescent="0.25">
      <c r="A87" s="187"/>
      <c r="B87" s="3"/>
    </row>
    <row r="88" spans="1:7" x14ac:dyDescent="0.25">
      <c r="A88" s="187"/>
      <c r="B88" s="4"/>
    </row>
    <row r="89" spans="1:7" x14ac:dyDescent="0.25">
      <c r="A89" s="187"/>
      <c r="B89" s="5"/>
    </row>
    <row r="90" spans="1:7" x14ac:dyDescent="0.25">
      <c r="A90" s="187"/>
      <c r="B90" s="6"/>
    </row>
    <row r="91" spans="1:7" x14ac:dyDescent="0.25">
      <c r="A91" s="187"/>
      <c r="B91" s="3"/>
    </row>
    <row r="92" spans="1:7" x14ac:dyDescent="0.25">
      <c r="A92" s="187"/>
      <c r="B92" s="6"/>
    </row>
    <row r="93" spans="1:7" x14ac:dyDescent="0.25">
      <c r="A93" s="187"/>
      <c r="B93" s="3"/>
    </row>
    <row r="94" spans="1:7" x14ac:dyDescent="0.25">
      <c r="A94" s="187"/>
      <c r="B94" s="5"/>
    </row>
    <row r="95" spans="1:7" x14ac:dyDescent="0.25">
      <c r="A95" s="187"/>
      <c r="B95" s="3"/>
    </row>
    <row r="96" spans="1:7" x14ac:dyDescent="0.25">
      <c r="A96" s="187"/>
      <c r="B96" s="3"/>
    </row>
    <row r="97" spans="1:2" x14ac:dyDescent="0.25">
      <c r="A97" s="187"/>
      <c r="B97" s="3"/>
    </row>
    <row r="98" spans="1:2" x14ac:dyDescent="0.25">
      <c r="A98" s="187"/>
      <c r="B98" s="3"/>
    </row>
    <row r="99" spans="1:2" x14ac:dyDescent="0.25">
      <c r="A99" s="187"/>
      <c r="B99" s="23"/>
    </row>
  </sheetData>
  <mergeCells count="2">
    <mergeCell ref="A3:B3"/>
    <mergeCell ref="A1:G1"/>
  </mergeCells>
  <printOptions horizontalCentered="1"/>
  <pageMargins left="0.39370078740157483" right="0.39370078740157483" top="0.39370078740157483" bottom="0.59055118110236227" header="0.31496062992125984" footer="0.31496062992125984"/>
  <pageSetup paperSize="9" orientation="landscape" r:id="rId1"/>
  <headerFooter>
    <oddFooter>&amp;L&amp;8CONCEPTION ET ADAPTATION ARCHITECTURALE-STRUCTURALE DES PLAN TYPES DE CENTRES PUBLICS DE FORMATION PROFESSIONNELLE ET D’ETUDES TECHNIQUES EN VUE DE LA CONSTRUCTION DU CENTRE PROFESSIONNELLE DES CAYES</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00B0F0"/>
  </sheetPr>
  <dimension ref="A1:T92"/>
  <sheetViews>
    <sheetView zoomScaleNormal="100" workbookViewId="0">
      <selection activeCell="H32" sqref="H32"/>
    </sheetView>
  </sheetViews>
  <sheetFormatPr defaultColWidth="11.5703125" defaultRowHeight="15" x14ac:dyDescent="0.25"/>
  <cols>
    <col min="1" max="1" width="5.7109375" style="181" customWidth="1"/>
    <col min="2" max="2" width="85.42578125" style="22" customWidth="1"/>
    <col min="3" max="3" width="8.28515625" bestFit="1" customWidth="1"/>
    <col min="4" max="4" width="3.7109375" customWidth="1"/>
    <col min="5" max="5" width="10" style="92" customWidth="1"/>
    <col min="6" max="6" width="10" style="93" customWidth="1"/>
    <col min="7" max="7" width="15" style="92" customWidth="1"/>
    <col min="8" max="11" width="11.5703125" customWidth="1"/>
  </cols>
  <sheetData>
    <row r="1" spans="1:7" ht="33.950000000000003" customHeight="1" thickTop="1" thickBot="1" x14ac:dyDescent="0.3">
      <c r="A1" s="356" t="s">
        <v>71</v>
      </c>
      <c r="B1" s="357"/>
      <c r="C1" s="357"/>
      <c r="D1" s="357"/>
      <c r="E1" s="357"/>
      <c r="F1" s="357"/>
      <c r="G1" s="358"/>
    </row>
    <row r="2" spans="1:7" ht="16.5" thickTop="1" thickBot="1" x14ac:dyDescent="0.3">
      <c r="C2" s="1" t="s">
        <v>615</v>
      </c>
      <c r="D2" s="1"/>
      <c r="E2" s="92" t="s">
        <v>4</v>
      </c>
      <c r="F2" s="93" t="s">
        <v>5</v>
      </c>
      <c r="G2" s="92" t="s">
        <v>6</v>
      </c>
    </row>
    <row r="3" spans="1:7" ht="16.5" thickTop="1" thickBot="1" x14ac:dyDescent="0.3">
      <c r="A3" s="354" t="s">
        <v>21</v>
      </c>
      <c r="B3" s="355"/>
      <c r="C3" s="57">
        <f>663.51+(109.5*50%)+(122.95*50%)</f>
        <v>779.73500000000001</v>
      </c>
      <c r="D3" s="54" t="s">
        <v>0</v>
      </c>
      <c r="E3" s="94"/>
      <c r="F3" s="95"/>
      <c r="G3" s="96">
        <f>G91/C3</f>
        <v>0</v>
      </c>
    </row>
    <row r="4" spans="1:7" ht="30" customHeight="1" thickTop="1" x14ac:dyDescent="0.25">
      <c r="A4" s="188" t="s">
        <v>290</v>
      </c>
      <c r="B4" s="297" t="s">
        <v>99</v>
      </c>
      <c r="C4" s="200" t="s">
        <v>2</v>
      </c>
      <c r="D4" s="201"/>
      <c r="E4" s="319">
        <v>791.61</v>
      </c>
      <c r="F4" s="192">
        <v>0</v>
      </c>
      <c r="G4" s="193">
        <f>SUM(F4*E4)</f>
        <v>0</v>
      </c>
    </row>
    <row r="5" spans="1:7" ht="37.5" customHeight="1" x14ac:dyDescent="0.25">
      <c r="A5" s="273" t="s">
        <v>291</v>
      </c>
      <c r="B5" s="298" t="s">
        <v>490</v>
      </c>
      <c r="C5" s="269" t="s">
        <v>2</v>
      </c>
      <c r="D5" s="270"/>
      <c r="E5" s="299">
        <v>372.05</v>
      </c>
      <c r="F5" s="151">
        <v>0</v>
      </c>
      <c r="G5" s="123">
        <f>SUM(F5*E5)</f>
        <v>0</v>
      </c>
    </row>
    <row r="6" spans="1:7" ht="30" customHeight="1" x14ac:dyDescent="0.25">
      <c r="A6" s="273" t="s">
        <v>292</v>
      </c>
      <c r="B6" s="298" t="s">
        <v>29</v>
      </c>
      <c r="C6" s="269" t="s">
        <v>2</v>
      </c>
      <c r="D6" s="270"/>
      <c r="E6" s="299">
        <v>26.12</v>
      </c>
      <c r="F6" s="151">
        <v>0</v>
      </c>
      <c r="G6" s="123">
        <f>SUM(F6*E6)</f>
        <v>0</v>
      </c>
    </row>
    <row r="7" spans="1:7" ht="30" customHeight="1" x14ac:dyDescent="0.25">
      <c r="A7" s="273" t="s">
        <v>293</v>
      </c>
      <c r="B7" s="300" t="s">
        <v>98</v>
      </c>
      <c r="C7" s="269" t="s">
        <v>2</v>
      </c>
      <c r="D7" s="270"/>
      <c r="E7" s="299">
        <v>156.35</v>
      </c>
      <c r="F7" s="151">
        <v>0</v>
      </c>
      <c r="G7" s="123">
        <f t="shared" ref="G7" si="0">SUM(F7*E7)</f>
        <v>0</v>
      </c>
    </row>
    <row r="8" spans="1:7" ht="30" customHeight="1" x14ac:dyDescent="0.25">
      <c r="A8" s="307"/>
      <c r="B8" s="301" t="s">
        <v>616</v>
      </c>
      <c r="C8" s="302" t="s">
        <v>2</v>
      </c>
      <c r="D8" s="303"/>
      <c r="E8" s="304">
        <v>44.036999999999999</v>
      </c>
      <c r="F8" s="305">
        <v>0</v>
      </c>
      <c r="G8" s="318"/>
    </row>
    <row r="9" spans="1:7" ht="30" customHeight="1" x14ac:dyDescent="0.25">
      <c r="A9" s="307"/>
      <c r="B9" s="301" t="s">
        <v>617</v>
      </c>
      <c r="C9" s="302" t="s">
        <v>2</v>
      </c>
      <c r="D9" s="303"/>
      <c r="E9" s="304">
        <v>85.8</v>
      </c>
      <c r="F9" s="305">
        <v>0</v>
      </c>
      <c r="G9" s="318"/>
    </row>
    <row r="10" spans="1:7" ht="30" customHeight="1" x14ac:dyDescent="0.25">
      <c r="A10" s="307"/>
      <c r="B10" s="301" t="s">
        <v>618</v>
      </c>
      <c r="C10" s="302" t="s">
        <v>2</v>
      </c>
      <c r="D10" s="303"/>
      <c r="E10" s="304">
        <v>15.62</v>
      </c>
      <c r="F10" s="305">
        <v>0</v>
      </c>
      <c r="G10" s="318"/>
    </row>
    <row r="11" spans="1:7" ht="96.75" x14ac:dyDescent="0.25">
      <c r="A11" s="273" t="s">
        <v>294</v>
      </c>
      <c r="B11" s="135" t="s">
        <v>79</v>
      </c>
      <c r="C11" s="269" t="s">
        <v>0</v>
      </c>
      <c r="D11" s="270"/>
      <c r="E11" s="150">
        <v>122.95</v>
      </c>
      <c r="F11" s="151">
        <v>0</v>
      </c>
      <c r="G11" s="123">
        <f>SUM(F11*E11)</f>
        <v>0</v>
      </c>
    </row>
    <row r="12" spans="1:7" ht="96.75" x14ac:dyDescent="0.25">
      <c r="A12" s="273" t="s">
        <v>115</v>
      </c>
      <c r="B12" s="135" t="s">
        <v>30</v>
      </c>
      <c r="C12" s="269" t="s">
        <v>2</v>
      </c>
      <c r="D12" s="270"/>
      <c r="E12" s="150">
        <v>10.965</v>
      </c>
      <c r="F12" s="151">
        <v>0</v>
      </c>
      <c r="G12" s="123">
        <f t="shared" ref="G12:G18" si="1">SUM(F12*E12)</f>
        <v>0</v>
      </c>
    </row>
    <row r="13" spans="1:7" ht="96.75" x14ac:dyDescent="0.25">
      <c r="A13" s="273" t="s">
        <v>295</v>
      </c>
      <c r="B13" s="135" t="s">
        <v>31</v>
      </c>
      <c r="C13" s="269" t="s">
        <v>2</v>
      </c>
      <c r="D13" s="270"/>
      <c r="E13" s="150">
        <v>14.3447</v>
      </c>
      <c r="F13" s="151">
        <v>0</v>
      </c>
      <c r="G13" s="123">
        <f t="shared" si="1"/>
        <v>0</v>
      </c>
    </row>
    <row r="14" spans="1:7" ht="108.75" x14ac:dyDescent="0.25">
      <c r="A14" s="273" t="s">
        <v>296</v>
      </c>
      <c r="B14" s="135" t="s">
        <v>26</v>
      </c>
      <c r="C14" s="269" t="s">
        <v>2</v>
      </c>
      <c r="D14" s="270"/>
      <c r="E14" s="150">
        <v>87.971500000000006</v>
      </c>
      <c r="F14" s="151">
        <v>0</v>
      </c>
      <c r="G14" s="123">
        <f t="shared" si="1"/>
        <v>0</v>
      </c>
    </row>
    <row r="15" spans="1:7" ht="96.75" x14ac:dyDescent="0.25">
      <c r="A15" s="273" t="s">
        <v>297</v>
      </c>
      <c r="B15" s="135" t="s">
        <v>30</v>
      </c>
      <c r="C15" s="269" t="s">
        <v>2</v>
      </c>
      <c r="D15" s="270"/>
      <c r="E15" s="150">
        <v>10.53</v>
      </c>
      <c r="F15" s="151">
        <v>0</v>
      </c>
      <c r="G15" s="123">
        <f t="shared" si="1"/>
        <v>0</v>
      </c>
    </row>
    <row r="16" spans="1:7" ht="96.75" x14ac:dyDescent="0.25">
      <c r="A16" s="273" t="s">
        <v>298</v>
      </c>
      <c r="B16" s="135" t="s">
        <v>31</v>
      </c>
      <c r="C16" s="269" t="s">
        <v>2</v>
      </c>
      <c r="D16" s="270"/>
      <c r="E16" s="150">
        <v>35.9983</v>
      </c>
      <c r="F16" s="151">
        <v>0</v>
      </c>
      <c r="G16" s="123">
        <f t="shared" si="1"/>
        <v>0</v>
      </c>
    </row>
    <row r="17" spans="1:7" ht="108.75" x14ac:dyDescent="0.25">
      <c r="A17" s="273" t="s">
        <v>299</v>
      </c>
      <c r="B17" s="135" t="s">
        <v>74</v>
      </c>
      <c r="C17" s="269" t="s">
        <v>2</v>
      </c>
      <c r="D17" s="270"/>
      <c r="E17" s="150">
        <v>9.4</v>
      </c>
      <c r="F17" s="151">
        <v>0</v>
      </c>
      <c r="G17" s="123">
        <f>SUM(F17*E17)</f>
        <v>0</v>
      </c>
    </row>
    <row r="18" spans="1:7" ht="108.75" x14ac:dyDescent="0.25">
      <c r="A18" s="273" t="s">
        <v>300</v>
      </c>
      <c r="B18" s="135" t="s">
        <v>32</v>
      </c>
      <c r="C18" s="269" t="s">
        <v>2</v>
      </c>
      <c r="D18" s="270"/>
      <c r="E18" s="150">
        <v>35.49</v>
      </c>
      <c r="F18" s="151">
        <v>0</v>
      </c>
      <c r="G18" s="123">
        <f t="shared" si="1"/>
        <v>0</v>
      </c>
    </row>
    <row r="19" spans="1:7" ht="108.75" x14ac:dyDescent="0.25">
      <c r="A19" s="273" t="s">
        <v>301</v>
      </c>
      <c r="B19" s="135" t="s">
        <v>27</v>
      </c>
      <c r="C19" s="269" t="s">
        <v>2</v>
      </c>
      <c r="D19" s="270"/>
      <c r="E19" s="150">
        <f>(0.98+0.96)*2.1*2</f>
        <v>8.1479999999999997</v>
      </c>
      <c r="F19" s="151">
        <v>0</v>
      </c>
      <c r="G19" s="123">
        <f>SUM(F19*E19)</f>
        <v>0</v>
      </c>
    </row>
    <row r="20" spans="1:7" ht="30" customHeight="1" x14ac:dyDescent="0.25">
      <c r="A20" s="307"/>
      <c r="B20" s="306" t="s">
        <v>621</v>
      </c>
      <c r="C20" s="321" t="s">
        <v>2</v>
      </c>
      <c r="D20" s="303"/>
      <c r="E20" s="322">
        <v>22</v>
      </c>
      <c r="F20" s="323">
        <v>0</v>
      </c>
      <c r="G20" s="318"/>
    </row>
    <row r="21" spans="1:7" ht="30" customHeight="1" x14ac:dyDescent="0.25">
      <c r="A21" s="273" t="s">
        <v>302</v>
      </c>
      <c r="B21" s="298" t="s">
        <v>34</v>
      </c>
      <c r="C21" s="269" t="s">
        <v>0</v>
      </c>
      <c r="D21" s="269"/>
      <c r="E21" s="299">
        <v>313.98</v>
      </c>
      <c r="F21" s="151">
        <v>0</v>
      </c>
      <c r="G21" s="123">
        <f>SUM(F21*E21)</f>
        <v>0</v>
      </c>
    </row>
    <row r="22" spans="1:7" ht="156.75" x14ac:dyDescent="0.25">
      <c r="A22" s="273" t="s">
        <v>303</v>
      </c>
      <c r="B22" s="135" t="s">
        <v>38</v>
      </c>
      <c r="C22" s="269" t="s">
        <v>0</v>
      </c>
      <c r="D22" s="269"/>
      <c r="E22" s="150">
        <f>((17.9*2.9)+(3*2.5*2.9)-(3*2.1*2.9)-(3*1))+15.6</f>
        <v>67.989999999999995</v>
      </c>
      <c r="F22" s="151">
        <v>0</v>
      </c>
      <c r="G22" s="123">
        <f>SUM(F22*E22)</f>
        <v>0</v>
      </c>
    </row>
    <row r="23" spans="1:7" ht="96.75" x14ac:dyDescent="0.25">
      <c r="A23" s="273" t="s">
        <v>304</v>
      </c>
      <c r="B23" s="135" t="s">
        <v>40</v>
      </c>
      <c r="C23" s="269"/>
      <c r="D23" s="269"/>
      <c r="E23" s="150"/>
      <c r="F23" s="151"/>
      <c r="G23" s="123"/>
    </row>
    <row r="24" spans="1:7" x14ac:dyDescent="0.25">
      <c r="A24" s="273" t="s">
        <v>428</v>
      </c>
      <c r="B24" s="135" t="s">
        <v>451</v>
      </c>
      <c r="C24" s="269" t="s">
        <v>3</v>
      </c>
      <c r="D24" s="269"/>
      <c r="E24" s="150">
        <v>0</v>
      </c>
      <c r="F24" s="151">
        <v>0</v>
      </c>
      <c r="G24" s="123">
        <f t="shared" ref="G24:G26" si="2">SUM(F24*E24)</f>
        <v>0</v>
      </c>
    </row>
    <row r="25" spans="1:7" x14ac:dyDescent="0.25">
      <c r="A25" s="273" t="s">
        <v>429</v>
      </c>
      <c r="B25" s="135" t="s">
        <v>452</v>
      </c>
      <c r="C25" s="269" t="s">
        <v>3</v>
      </c>
      <c r="D25" s="269"/>
      <c r="E25" s="150">
        <v>0</v>
      </c>
      <c r="F25" s="151">
        <v>0</v>
      </c>
      <c r="G25" s="123">
        <f t="shared" si="2"/>
        <v>0</v>
      </c>
    </row>
    <row r="26" spans="1:7" x14ac:dyDescent="0.25">
      <c r="A26" s="273" t="s">
        <v>476</v>
      </c>
      <c r="B26" s="135" t="s">
        <v>453</v>
      </c>
      <c r="C26" s="269" t="s">
        <v>3</v>
      </c>
      <c r="D26" s="270"/>
      <c r="E26" s="150">
        <v>0</v>
      </c>
      <c r="F26" s="151">
        <v>0</v>
      </c>
      <c r="G26" s="123">
        <f t="shared" si="2"/>
        <v>0</v>
      </c>
    </row>
    <row r="27" spans="1:7" ht="96.75" x14ac:dyDescent="0.25">
      <c r="A27" s="273" t="s">
        <v>305</v>
      </c>
      <c r="B27" s="139" t="s">
        <v>39</v>
      </c>
      <c r="C27" s="269" t="s">
        <v>3</v>
      </c>
      <c r="D27" s="270"/>
      <c r="E27" s="150">
        <v>13</v>
      </c>
      <c r="F27" s="151">
        <v>0</v>
      </c>
      <c r="G27" s="123">
        <f>SUM(F27*E27)</f>
        <v>0</v>
      </c>
    </row>
    <row r="28" spans="1:7" ht="144.75" x14ac:dyDescent="0.25">
      <c r="A28" s="273" t="s">
        <v>306</v>
      </c>
      <c r="B28" s="139" t="s">
        <v>613</v>
      </c>
      <c r="C28" s="269" t="s">
        <v>0</v>
      </c>
      <c r="D28" s="270"/>
      <c r="E28" s="150">
        <f>(6*6.45*2.6)+(6*6.45*2.6)+(4.5*6.45*2.6)+(4.5*6.45*2.6)</f>
        <v>352.17000000000007</v>
      </c>
      <c r="F28" s="151">
        <v>0</v>
      </c>
      <c r="G28" s="123">
        <f>SUM(F28*E28)</f>
        <v>0</v>
      </c>
    </row>
    <row r="29" spans="1:7" s="10" customFormat="1" ht="48.75" x14ac:dyDescent="0.25">
      <c r="A29" s="273" t="s">
        <v>307</v>
      </c>
      <c r="B29" s="139" t="s">
        <v>614</v>
      </c>
      <c r="C29" s="269" t="s">
        <v>1</v>
      </c>
      <c r="D29" s="269"/>
      <c r="E29" s="150">
        <v>55.25</v>
      </c>
      <c r="F29" s="151">
        <v>0</v>
      </c>
      <c r="G29" s="123">
        <f>E29*F29</f>
        <v>0</v>
      </c>
    </row>
    <row r="30" spans="1:7" ht="84.75" x14ac:dyDescent="0.25">
      <c r="A30" s="273" t="s">
        <v>308</v>
      </c>
      <c r="B30" s="139" t="s">
        <v>47</v>
      </c>
      <c r="C30" s="269" t="s">
        <v>0</v>
      </c>
      <c r="D30" s="270"/>
      <c r="E30" s="150">
        <f>(6.35+6.35+3.125)*0.7</f>
        <v>11.077499999999999</v>
      </c>
      <c r="F30" s="151">
        <v>0</v>
      </c>
      <c r="G30" s="123">
        <f t="shared" ref="G30:G40" si="3">SUM(F30*E30)</f>
        <v>0</v>
      </c>
    </row>
    <row r="31" spans="1:7" ht="84.75" x14ac:dyDescent="0.25">
      <c r="A31" s="273" t="s">
        <v>309</v>
      </c>
      <c r="B31" s="139" t="s">
        <v>45</v>
      </c>
      <c r="C31" s="269" t="s">
        <v>0</v>
      </c>
      <c r="D31" s="270"/>
      <c r="E31" s="150">
        <f>E30</f>
        <v>11.077499999999999</v>
      </c>
      <c r="F31" s="151">
        <v>0</v>
      </c>
      <c r="G31" s="123">
        <f t="shared" si="3"/>
        <v>0</v>
      </c>
    </row>
    <row r="32" spans="1:7" ht="84.75" x14ac:dyDescent="0.25">
      <c r="A32" s="273" t="s">
        <v>310</v>
      </c>
      <c r="B32" s="135" t="s">
        <v>42</v>
      </c>
      <c r="C32" s="269" t="s">
        <v>0</v>
      </c>
      <c r="D32" s="270"/>
      <c r="E32" s="150">
        <v>836.71</v>
      </c>
      <c r="F32" s="151">
        <v>0</v>
      </c>
      <c r="G32" s="123"/>
    </row>
    <row r="33" spans="1:20" ht="72.75" x14ac:dyDescent="0.25">
      <c r="A33" s="273" t="s">
        <v>311</v>
      </c>
      <c r="B33" s="143" t="s">
        <v>466</v>
      </c>
      <c r="C33" s="269" t="s">
        <v>0</v>
      </c>
      <c r="D33" s="270"/>
      <c r="E33" s="150">
        <f>$C$3*0.95</f>
        <v>740.74824999999998</v>
      </c>
      <c r="F33" s="151">
        <v>0</v>
      </c>
      <c r="G33" s="123">
        <f t="shared" si="3"/>
        <v>0</v>
      </c>
    </row>
    <row r="34" spans="1:20" ht="96.75" x14ac:dyDescent="0.25">
      <c r="A34" s="273" t="s">
        <v>312</v>
      </c>
      <c r="B34" s="135" t="s">
        <v>44</v>
      </c>
      <c r="C34" s="269" t="s">
        <v>0</v>
      </c>
      <c r="D34" s="269"/>
      <c r="E34" s="150">
        <f>(39.9*4)+(41.18*2)</f>
        <v>241.95999999999998</v>
      </c>
      <c r="F34" s="151">
        <v>0</v>
      </c>
      <c r="G34" s="123">
        <f t="shared" si="3"/>
        <v>0</v>
      </c>
    </row>
    <row r="35" spans="1:20" ht="72.75" x14ac:dyDescent="0.25">
      <c r="A35" s="273" t="s">
        <v>313</v>
      </c>
      <c r="B35" s="135" t="s">
        <v>43</v>
      </c>
      <c r="C35" s="269" t="s">
        <v>0</v>
      </c>
      <c r="D35" s="270"/>
      <c r="E35" s="150">
        <f>E34</f>
        <v>241.95999999999998</v>
      </c>
      <c r="F35" s="151">
        <v>0</v>
      </c>
      <c r="G35" s="123">
        <f t="shared" si="3"/>
        <v>0</v>
      </c>
    </row>
    <row r="36" spans="1:20" ht="72.75" x14ac:dyDescent="0.25">
      <c r="A36" s="273" t="s">
        <v>314</v>
      </c>
      <c r="B36" s="135" t="s">
        <v>41</v>
      </c>
      <c r="C36" s="269" t="s">
        <v>0</v>
      </c>
      <c r="D36" s="270"/>
      <c r="E36" s="150">
        <v>27.25</v>
      </c>
      <c r="F36" s="151">
        <v>0</v>
      </c>
      <c r="G36" s="123">
        <f>SUM(F36*E36)</f>
        <v>0</v>
      </c>
    </row>
    <row r="37" spans="1:20" ht="72.75" x14ac:dyDescent="0.25">
      <c r="A37" s="273" t="s">
        <v>315</v>
      </c>
      <c r="B37" s="135" t="s">
        <v>25</v>
      </c>
      <c r="C37" s="269" t="s">
        <v>0</v>
      </c>
      <c r="D37" s="270"/>
      <c r="E37" s="150">
        <f>(3+3+3+4.5+7)*0.6</f>
        <v>12.299999999999999</v>
      </c>
      <c r="F37" s="151">
        <v>0</v>
      </c>
      <c r="G37" s="123">
        <f t="shared" si="3"/>
        <v>0</v>
      </c>
    </row>
    <row r="38" spans="1:20" ht="60.75" x14ac:dyDescent="0.25">
      <c r="A38" s="273" t="s">
        <v>316</v>
      </c>
      <c r="B38" s="135" t="s">
        <v>37</v>
      </c>
      <c r="C38" s="269" t="s">
        <v>0</v>
      </c>
      <c r="D38" s="269"/>
      <c r="E38" s="150">
        <v>188.7</v>
      </c>
      <c r="F38" s="151">
        <v>0</v>
      </c>
      <c r="G38" s="123">
        <f t="shared" si="3"/>
        <v>0</v>
      </c>
    </row>
    <row r="39" spans="1:20" ht="120.75" x14ac:dyDescent="0.25">
      <c r="A39" s="273" t="s">
        <v>317</v>
      </c>
      <c r="B39" s="135" t="s">
        <v>35</v>
      </c>
      <c r="C39" s="269" t="s">
        <v>0</v>
      </c>
      <c r="D39" s="270"/>
      <c r="E39" s="150">
        <f>374.15-(9.4/0.2)</f>
        <v>327.14999999999998</v>
      </c>
      <c r="F39" s="203">
        <v>0</v>
      </c>
      <c r="G39" s="123">
        <f t="shared" si="3"/>
        <v>0</v>
      </c>
    </row>
    <row r="40" spans="1:20" ht="97.5" thickBot="1" x14ac:dyDescent="0.3">
      <c r="A40" s="273" t="s">
        <v>318</v>
      </c>
      <c r="B40" s="142" t="s">
        <v>36</v>
      </c>
      <c r="C40" s="288" t="s">
        <v>0</v>
      </c>
      <c r="D40" s="289"/>
      <c r="E40" s="196">
        <f>E39*1.04</f>
        <v>340.23599999999999</v>
      </c>
      <c r="F40" s="197">
        <v>0</v>
      </c>
      <c r="G40" s="198">
        <f t="shared" si="3"/>
        <v>0</v>
      </c>
    </row>
    <row r="41" spans="1:20" s="8" customFormat="1" ht="181.5" thickTop="1" x14ac:dyDescent="0.25">
      <c r="A41" s="257" t="s">
        <v>319</v>
      </c>
      <c r="B41" s="258" t="s">
        <v>610</v>
      </c>
      <c r="C41" s="249" t="s">
        <v>80</v>
      </c>
      <c r="D41" s="249"/>
      <c r="E41" s="215">
        <v>1</v>
      </c>
      <c r="F41" s="216">
        <v>0</v>
      </c>
      <c r="G41" s="217">
        <f t="shared" ref="G41" si="4">SUM(F41*E41)</f>
        <v>0</v>
      </c>
    </row>
    <row r="42" spans="1:20" s="8" customFormat="1" ht="114.75" x14ac:dyDescent="0.25">
      <c r="A42" s="259"/>
      <c r="B42" s="140" t="s">
        <v>561</v>
      </c>
      <c r="C42" s="260" t="s">
        <v>95</v>
      </c>
      <c r="D42" s="260"/>
      <c r="E42" s="261">
        <f>15*8+21</f>
        <v>141</v>
      </c>
      <c r="F42" s="262">
        <v>0</v>
      </c>
      <c r="G42" s="263"/>
      <c r="I42" s="222"/>
      <c r="J42" s="222"/>
      <c r="K42" s="222"/>
      <c r="L42" s="222"/>
      <c r="M42" s="222"/>
      <c r="N42" s="222"/>
      <c r="O42" s="222"/>
      <c r="P42" s="222"/>
      <c r="Q42" s="222"/>
      <c r="R42" s="222"/>
      <c r="S42" s="7"/>
      <c r="T42" s="7"/>
    </row>
    <row r="43" spans="1:20" s="8" customFormat="1" ht="114.75" x14ac:dyDescent="0.25">
      <c r="A43" s="259"/>
      <c r="B43" s="140" t="s">
        <v>503</v>
      </c>
      <c r="C43" s="260" t="s">
        <v>95</v>
      </c>
      <c r="D43" s="260"/>
      <c r="E43" s="261">
        <v>22</v>
      </c>
      <c r="F43" s="262">
        <v>0</v>
      </c>
      <c r="G43" s="263"/>
      <c r="I43" s="222"/>
      <c r="J43" s="222"/>
      <c r="K43" s="222"/>
      <c r="L43" s="222"/>
      <c r="M43" s="222"/>
      <c r="N43" s="222"/>
      <c r="O43" s="222"/>
      <c r="P43" s="222"/>
      <c r="Q43" s="222"/>
      <c r="R43" s="222"/>
      <c r="S43" s="7"/>
      <c r="T43" s="7"/>
    </row>
    <row r="44" spans="1:20" s="8" customFormat="1" ht="114.75" x14ac:dyDescent="0.25">
      <c r="A44" s="259"/>
      <c r="B44" s="140" t="s">
        <v>504</v>
      </c>
      <c r="C44" s="260" t="s">
        <v>95</v>
      </c>
      <c r="D44" s="260"/>
      <c r="E44" s="261">
        <v>48</v>
      </c>
      <c r="F44" s="262">
        <v>0</v>
      </c>
      <c r="G44" s="263"/>
      <c r="I44" s="222"/>
      <c r="J44" s="222"/>
      <c r="K44" s="222"/>
      <c r="L44" s="222"/>
      <c r="M44" s="222"/>
      <c r="N44" s="222"/>
      <c r="O44" s="222"/>
      <c r="P44" s="222"/>
      <c r="Q44" s="222"/>
      <c r="R44" s="222"/>
      <c r="S44" s="7"/>
      <c r="T44" s="7"/>
    </row>
    <row r="45" spans="1:20" s="8" customFormat="1" ht="51" x14ac:dyDescent="0.25">
      <c r="A45" s="259"/>
      <c r="B45" s="139" t="s">
        <v>511</v>
      </c>
      <c r="C45" s="260" t="s">
        <v>95</v>
      </c>
      <c r="D45" s="260"/>
      <c r="E45" s="261">
        <v>22</v>
      </c>
      <c r="F45" s="262">
        <v>0</v>
      </c>
      <c r="G45" s="263"/>
      <c r="I45" s="222"/>
      <c r="J45" s="222"/>
      <c r="K45" s="222"/>
      <c r="L45" s="222"/>
      <c r="M45" s="222"/>
      <c r="N45" s="222"/>
      <c r="O45" s="222"/>
      <c r="P45" s="222"/>
      <c r="Q45" s="222"/>
      <c r="R45" s="222"/>
      <c r="S45" s="7"/>
      <c r="T45" s="7"/>
    </row>
    <row r="46" spans="1:20" s="8" customFormat="1" ht="51" x14ac:dyDescent="0.25">
      <c r="A46" s="259"/>
      <c r="B46" s="139" t="s">
        <v>514</v>
      </c>
      <c r="C46" s="260" t="s">
        <v>95</v>
      </c>
      <c r="D46" s="260"/>
      <c r="E46" s="261">
        <v>8</v>
      </c>
      <c r="F46" s="262">
        <v>0</v>
      </c>
      <c r="G46" s="263"/>
      <c r="I46" s="222"/>
      <c r="J46" s="222"/>
      <c r="K46" s="222"/>
      <c r="L46" s="222"/>
      <c r="M46" s="222"/>
      <c r="N46" s="222"/>
      <c r="O46" s="222"/>
      <c r="P46" s="222"/>
      <c r="Q46" s="222"/>
      <c r="R46" s="222"/>
      <c r="S46" s="7"/>
      <c r="T46" s="7"/>
    </row>
    <row r="47" spans="1:20" s="8" customFormat="1" ht="38.25" x14ac:dyDescent="0.25">
      <c r="A47" s="259"/>
      <c r="B47" s="140" t="s">
        <v>563</v>
      </c>
      <c r="C47" s="260" t="s">
        <v>95</v>
      </c>
      <c r="D47" s="260"/>
      <c r="E47" s="261">
        <v>4</v>
      </c>
      <c r="F47" s="262">
        <v>0</v>
      </c>
      <c r="G47" s="263"/>
      <c r="I47" s="222"/>
      <c r="J47" s="222"/>
      <c r="K47" s="222"/>
      <c r="L47" s="222"/>
      <c r="M47" s="222"/>
      <c r="N47" s="222"/>
      <c r="O47" s="222"/>
      <c r="P47" s="222"/>
      <c r="Q47" s="222"/>
      <c r="R47" s="222"/>
      <c r="S47" s="7"/>
      <c r="T47" s="7"/>
    </row>
    <row r="48" spans="1:20" s="8" customFormat="1" ht="25.5" x14ac:dyDescent="0.25">
      <c r="A48" s="259"/>
      <c r="B48" s="140" t="s">
        <v>505</v>
      </c>
      <c r="C48" s="260" t="s">
        <v>95</v>
      </c>
      <c r="D48" s="260"/>
      <c r="E48" s="261">
        <v>6</v>
      </c>
      <c r="F48" s="262">
        <v>0</v>
      </c>
      <c r="G48" s="263"/>
      <c r="I48" s="222"/>
      <c r="J48" s="222"/>
      <c r="K48" s="222"/>
      <c r="L48" s="222"/>
      <c r="M48" s="222"/>
      <c r="N48" s="222"/>
      <c r="O48" s="222"/>
      <c r="P48" s="222"/>
      <c r="Q48" s="222"/>
      <c r="R48" s="222"/>
      <c r="S48" s="7"/>
      <c r="T48" s="7"/>
    </row>
    <row r="49" spans="1:20" s="8" customFormat="1" ht="25.5" x14ac:dyDescent="0.25">
      <c r="A49" s="259"/>
      <c r="B49" s="140" t="s">
        <v>545</v>
      </c>
      <c r="C49" s="260" t="s">
        <v>95</v>
      </c>
      <c r="D49" s="260"/>
      <c r="E49" s="261">
        <v>13</v>
      </c>
      <c r="F49" s="262">
        <v>0</v>
      </c>
      <c r="G49" s="263"/>
      <c r="I49" s="222"/>
      <c r="J49" s="222"/>
      <c r="K49" s="222"/>
      <c r="L49" s="222"/>
      <c r="M49" s="222"/>
      <c r="N49" s="222"/>
      <c r="O49" s="222"/>
      <c r="P49" s="222"/>
      <c r="Q49" s="222"/>
      <c r="R49" s="222"/>
      <c r="S49" s="7"/>
      <c r="T49" s="7"/>
    </row>
    <row r="50" spans="1:20" s="8" customFormat="1" ht="25.5" x14ac:dyDescent="0.25">
      <c r="A50" s="259"/>
      <c r="B50" s="140" t="s">
        <v>507</v>
      </c>
      <c r="C50" s="260" t="s">
        <v>95</v>
      </c>
      <c r="D50" s="260"/>
      <c r="E50" s="261">
        <v>9</v>
      </c>
      <c r="F50" s="262">
        <v>0</v>
      </c>
      <c r="G50" s="263"/>
      <c r="I50" s="222"/>
      <c r="J50" s="222"/>
      <c r="K50" s="222"/>
      <c r="L50" s="222"/>
      <c r="M50" s="222"/>
      <c r="N50" s="222"/>
      <c r="O50" s="222"/>
      <c r="P50" s="222"/>
      <c r="Q50" s="222"/>
      <c r="R50" s="222"/>
      <c r="S50" s="7"/>
      <c r="T50" s="7"/>
    </row>
    <row r="51" spans="1:20" s="8" customFormat="1" ht="25.5" x14ac:dyDescent="0.25">
      <c r="A51" s="259"/>
      <c r="B51" s="140" t="s">
        <v>509</v>
      </c>
      <c r="C51" s="260" t="s">
        <v>95</v>
      </c>
      <c r="D51" s="260"/>
      <c r="E51" s="261">
        <v>8</v>
      </c>
      <c r="F51" s="262">
        <v>0</v>
      </c>
      <c r="G51" s="263"/>
      <c r="I51" s="222"/>
      <c r="J51" s="222"/>
      <c r="K51" s="222"/>
      <c r="L51" s="222"/>
      <c r="M51" s="222"/>
      <c r="N51" s="222"/>
      <c r="O51" s="222"/>
      <c r="P51" s="222"/>
      <c r="Q51" s="222"/>
      <c r="R51" s="222"/>
      <c r="S51" s="7"/>
      <c r="T51" s="7"/>
    </row>
    <row r="52" spans="1:20" s="8" customFormat="1" ht="38.25" x14ac:dyDescent="0.25">
      <c r="A52" s="259"/>
      <c r="B52" s="140" t="s">
        <v>562</v>
      </c>
      <c r="C52" s="260" t="s">
        <v>95</v>
      </c>
      <c r="D52" s="260"/>
      <c r="E52" s="261">
        <v>2</v>
      </c>
      <c r="F52" s="262">
        <v>0</v>
      </c>
      <c r="G52" s="263"/>
      <c r="I52" s="222"/>
      <c r="J52" s="222"/>
      <c r="K52" s="222"/>
      <c r="L52" s="222"/>
      <c r="M52" s="222"/>
      <c r="N52" s="222"/>
      <c r="O52" s="222"/>
      <c r="P52" s="222"/>
      <c r="Q52" s="222"/>
      <c r="R52" s="222"/>
      <c r="S52" s="7"/>
      <c r="T52" s="7"/>
    </row>
    <row r="53" spans="1:20" s="7" customFormat="1" ht="51" x14ac:dyDescent="0.25">
      <c r="A53" s="259"/>
      <c r="B53" s="140" t="s">
        <v>539</v>
      </c>
      <c r="C53" s="260" t="s">
        <v>80</v>
      </c>
      <c r="D53" s="260"/>
      <c r="E53" s="261">
        <v>1</v>
      </c>
      <c r="F53" s="262">
        <v>0</v>
      </c>
      <c r="G53" s="263"/>
      <c r="I53" s="222"/>
      <c r="J53" s="222"/>
      <c r="K53" s="222"/>
      <c r="L53" s="222"/>
      <c r="M53" s="222"/>
      <c r="N53" s="222"/>
      <c r="O53" s="222"/>
      <c r="P53" s="222"/>
      <c r="Q53" s="222"/>
      <c r="R53" s="222"/>
    </row>
    <row r="54" spans="1:20" s="7" customFormat="1" ht="76.5" x14ac:dyDescent="0.25">
      <c r="A54" s="259"/>
      <c r="B54" s="140" t="s">
        <v>542</v>
      </c>
      <c r="C54" s="260" t="s">
        <v>80</v>
      </c>
      <c r="D54" s="260"/>
      <c r="E54" s="261">
        <v>1</v>
      </c>
      <c r="F54" s="262">
        <v>0</v>
      </c>
      <c r="G54" s="263"/>
      <c r="I54" s="222"/>
      <c r="J54" s="222"/>
      <c r="K54" s="222"/>
      <c r="L54" s="222"/>
      <c r="M54" s="222"/>
      <c r="N54" s="222"/>
      <c r="O54" s="222"/>
      <c r="P54" s="222"/>
      <c r="Q54" s="222"/>
      <c r="R54" s="222"/>
    </row>
    <row r="55" spans="1:20" s="7" customFormat="1" ht="63.75" x14ac:dyDescent="0.25">
      <c r="A55" s="259"/>
      <c r="B55" s="139" t="s">
        <v>541</v>
      </c>
      <c r="C55" s="260" t="s">
        <v>95</v>
      </c>
      <c r="D55" s="260"/>
      <c r="E55" s="261">
        <v>1</v>
      </c>
      <c r="F55" s="262">
        <v>0</v>
      </c>
      <c r="G55" s="263"/>
      <c r="I55" s="222"/>
      <c r="J55" s="222"/>
      <c r="K55" s="222"/>
      <c r="L55" s="222"/>
      <c r="M55" s="222"/>
      <c r="N55" s="222"/>
      <c r="O55" s="222"/>
      <c r="P55" s="222"/>
      <c r="Q55" s="222"/>
      <c r="R55" s="222"/>
    </row>
    <row r="56" spans="1:20" s="7" customFormat="1" ht="16.5" x14ac:dyDescent="0.25">
      <c r="A56" s="259"/>
      <c r="B56" s="140" t="s">
        <v>506</v>
      </c>
      <c r="C56" s="260" t="s">
        <v>80</v>
      </c>
      <c r="D56" s="260"/>
      <c r="E56" s="261">
        <v>1</v>
      </c>
      <c r="F56" s="262">
        <v>0</v>
      </c>
      <c r="G56" s="263"/>
      <c r="I56" s="222"/>
      <c r="J56" s="222"/>
      <c r="K56" s="222"/>
      <c r="L56" s="222"/>
      <c r="M56" s="222"/>
      <c r="N56" s="222"/>
      <c r="O56" s="222"/>
      <c r="P56" s="222"/>
      <c r="Q56" s="222"/>
      <c r="R56" s="222"/>
    </row>
    <row r="57" spans="1:20" s="7" customFormat="1" ht="64.5" thickBot="1" x14ac:dyDescent="0.3">
      <c r="A57" s="259"/>
      <c r="B57" s="140" t="s">
        <v>515</v>
      </c>
      <c r="C57" s="260" t="s">
        <v>80</v>
      </c>
      <c r="D57" s="260"/>
      <c r="E57" s="261">
        <v>1</v>
      </c>
      <c r="F57" s="262">
        <v>0</v>
      </c>
      <c r="G57" s="263"/>
      <c r="I57" s="222"/>
      <c r="J57" s="222"/>
      <c r="K57" s="222"/>
      <c r="L57" s="222"/>
      <c r="M57" s="222"/>
      <c r="N57" s="222"/>
      <c r="O57" s="222"/>
      <c r="P57" s="222"/>
      <c r="Q57" s="222"/>
      <c r="R57" s="222"/>
    </row>
    <row r="58" spans="1:20" s="146" customFormat="1" ht="301.5" thickTop="1" x14ac:dyDescent="0.25">
      <c r="A58" s="267" t="s">
        <v>320</v>
      </c>
      <c r="B58" s="258" t="s">
        <v>611</v>
      </c>
      <c r="C58" s="249" t="s">
        <v>80</v>
      </c>
      <c r="D58" s="249"/>
      <c r="E58" s="215">
        <v>1</v>
      </c>
      <c r="F58" s="216">
        <v>0</v>
      </c>
      <c r="G58" s="217">
        <f>SUM(F58*E58)</f>
        <v>0</v>
      </c>
    </row>
    <row r="59" spans="1:20" s="7" customFormat="1" ht="16.5" x14ac:dyDescent="0.25">
      <c r="A59" s="259"/>
      <c r="B59" s="226" t="s">
        <v>531</v>
      </c>
      <c r="C59" s="260"/>
      <c r="D59" s="260"/>
      <c r="E59" s="261"/>
      <c r="F59" s="262"/>
      <c r="G59" s="263"/>
    </row>
    <row r="60" spans="1:20" s="8" customFormat="1" ht="63.75" x14ac:dyDescent="0.25">
      <c r="A60" s="259"/>
      <c r="B60" s="139" t="s">
        <v>530</v>
      </c>
      <c r="C60" s="260" t="s">
        <v>516</v>
      </c>
      <c r="D60" s="260"/>
      <c r="E60" s="261">
        <v>35</v>
      </c>
      <c r="F60" s="262">
        <v>0</v>
      </c>
      <c r="G60" s="263">
        <f t="shared" ref="G60:G62" si="5">E60*F60</f>
        <v>0</v>
      </c>
      <c r="I60" s="7"/>
      <c r="J60" s="7"/>
      <c r="K60" s="7"/>
      <c r="L60" s="7"/>
      <c r="M60" s="7"/>
      <c r="N60" s="7"/>
      <c r="O60" s="7"/>
      <c r="P60" s="7"/>
      <c r="Q60" s="7"/>
      <c r="R60" s="7"/>
      <c r="S60" s="7"/>
      <c r="T60" s="7"/>
    </row>
    <row r="61" spans="1:20" s="8" customFormat="1" ht="38.25" x14ac:dyDescent="0.25">
      <c r="A61" s="259"/>
      <c r="B61" s="139" t="s">
        <v>527</v>
      </c>
      <c r="C61" s="260" t="s">
        <v>80</v>
      </c>
      <c r="D61" s="260"/>
      <c r="E61" s="261">
        <v>1</v>
      </c>
      <c r="F61" s="262">
        <v>0</v>
      </c>
      <c r="G61" s="263">
        <f t="shared" si="5"/>
        <v>0</v>
      </c>
      <c r="I61" s="7"/>
      <c r="J61" s="7"/>
      <c r="K61" s="7"/>
      <c r="L61" s="7"/>
      <c r="M61" s="7"/>
      <c r="N61" s="7"/>
      <c r="O61" s="7"/>
      <c r="P61" s="7"/>
      <c r="Q61" s="7"/>
      <c r="R61" s="7"/>
      <c r="S61" s="7"/>
      <c r="T61" s="7"/>
    </row>
    <row r="62" spans="1:20" s="8" customFormat="1" ht="16.5" x14ac:dyDescent="0.25">
      <c r="A62" s="259"/>
      <c r="B62" s="140" t="s">
        <v>526</v>
      </c>
      <c r="C62" s="260" t="s">
        <v>80</v>
      </c>
      <c r="D62" s="260"/>
      <c r="E62" s="261">
        <v>1</v>
      </c>
      <c r="F62" s="262">
        <v>0</v>
      </c>
      <c r="G62" s="263">
        <f t="shared" si="5"/>
        <v>0</v>
      </c>
      <c r="I62" s="7"/>
      <c r="J62" s="7"/>
      <c r="K62" s="7"/>
      <c r="L62" s="7"/>
      <c r="M62" s="7"/>
      <c r="N62" s="7"/>
      <c r="O62" s="7"/>
      <c r="P62" s="7"/>
      <c r="Q62" s="7"/>
      <c r="R62" s="7"/>
      <c r="S62" s="7"/>
      <c r="T62" s="7"/>
    </row>
    <row r="63" spans="1:20" s="7" customFormat="1" ht="16.5" x14ac:dyDescent="0.25">
      <c r="A63" s="259"/>
      <c r="B63" s="226" t="s">
        <v>517</v>
      </c>
      <c r="C63" s="260"/>
      <c r="D63" s="260"/>
      <c r="E63" s="261"/>
      <c r="F63" s="262"/>
      <c r="G63" s="263"/>
    </row>
    <row r="64" spans="1:20" s="7" customFormat="1" ht="25.5" x14ac:dyDescent="0.25">
      <c r="A64" s="259"/>
      <c r="B64" s="140" t="s">
        <v>567</v>
      </c>
      <c r="C64" s="260" t="s">
        <v>95</v>
      </c>
      <c r="D64" s="260"/>
      <c r="E64" s="261">
        <v>2</v>
      </c>
      <c r="F64" s="262">
        <v>0</v>
      </c>
      <c r="G64" s="263">
        <f t="shared" ref="G64:G68" si="6">E64*F64</f>
        <v>0</v>
      </c>
    </row>
    <row r="65" spans="1:7" s="7" customFormat="1" ht="25.5" x14ac:dyDescent="0.25">
      <c r="A65" s="259"/>
      <c r="B65" s="139" t="s">
        <v>568</v>
      </c>
      <c r="C65" s="260" t="s">
        <v>95</v>
      </c>
      <c r="D65" s="260"/>
      <c r="E65" s="261">
        <v>2</v>
      </c>
      <c r="F65" s="262">
        <v>0</v>
      </c>
      <c r="G65" s="263"/>
    </row>
    <row r="66" spans="1:7" s="7" customFormat="1" ht="16.5" x14ac:dyDescent="0.25">
      <c r="A66" s="259"/>
      <c r="B66" s="139" t="s">
        <v>565</v>
      </c>
      <c r="C66" s="260" t="s">
        <v>95</v>
      </c>
      <c r="D66" s="260"/>
      <c r="E66" s="261">
        <v>2</v>
      </c>
      <c r="F66" s="262">
        <v>0</v>
      </c>
      <c r="G66" s="263"/>
    </row>
    <row r="67" spans="1:7" s="7" customFormat="1" ht="16.5" x14ac:dyDescent="0.25">
      <c r="A67" s="259"/>
      <c r="B67" s="139" t="s">
        <v>566</v>
      </c>
      <c r="C67" s="260" t="s">
        <v>95</v>
      </c>
      <c r="D67" s="260"/>
      <c r="E67" s="261">
        <v>2</v>
      </c>
      <c r="F67" s="262">
        <v>0</v>
      </c>
      <c r="G67" s="263"/>
    </row>
    <row r="68" spans="1:7" s="8" customFormat="1" ht="25.5" x14ac:dyDescent="0.25">
      <c r="A68" s="268"/>
      <c r="B68" s="139" t="s">
        <v>564</v>
      </c>
      <c r="C68" s="260" t="s">
        <v>95</v>
      </c>
      <c r="D68" s="260"/>
      <c r="E68" s="261">
        <v>4</v>
      </c>
      <c r="F68" s="262">
        <v>0</v>
      </c>
      <c r="G68" s="263">
        <f t="shared" si="6"/>
        <v>0</v>
      </c>
    </row>
    <row r="69" spans="1:7" s="8" customFormat="1" ht="16.5" x14ac:dyDescent="0.25">
      <c r="A69" s="268"/>
      <c r="B69" s="226" t="s">
        <v>518</v>
      </c>
      <c r="C69" s="260"/>
      <c r="D69" s="260"/>
      <c r="E69" s="261"/>
      <c r="F69" s="262"/>
      <c r="G69" s="263"/>
    </row>
    <row r="70" spans="1:7" s="8" customFormat="1" ht="51" x14ac:dyDescent="0.25">
      <c r="A70" s="268"/>
      <c r="B70" s="139" t="s">
        <v>532</v>
      </c>
      <c r="C70" s="260" t="s">
        <v>516</v>
      </c>
      <c r="D70" s="260"/>
      <c r="E70" s="261">
        <v>15</v>
      </c>
      <c r="F70" s="262">
        <v>0</v>
      </c>
      <c r="G70" s="263">
        <f t="shared" ref="G70:G74" si="7">E70*F70</f>
        <v>0</v>
      </c>
    </row>
    <row r="71" spans="1:7" s="8" customFormat="1" ht="51" x14ac:dyDescent="0.25">
      <c r="A71" s="268"/>
      <c r="B71" s="139" t="s">
        <v>533</v>
      </c>
      <c r="C71" s="260" t="s">
        <v>516</v>
      </c>
      <c r="D71" s="260"/>
      <c r="E71" s="261">
        <v>10</v>
      </c>
      <c r="F71" s="262">
        <v>0</v>
      </c>
      <c r="G71" s="263">
        <f t="shared" si="7"/>
        <v>0</v>
      </c>
    </row>
    <row r="72" spans="1:7" s="8" customFormat="1" ht="51" x14ac:dyDescent="0.25">
      <c r="A72" s="268"/>
      <c r="B72" s="139" t="s">
        <v>534</v>
      </c>
      <c r="C72" s="260" t="s">
        <v>516</v>
      </c>
      <c r="D72" s="260"/>
      <c r="E72" s="261">
        <v>10</v>
      </c>
      <c r="F72" s="262">
        <v>0</v>
      </c>
      <c r="G72" s="263">
        <f t="shared" si="7"/>
        <v>0</v>
      </c>
    </row>
    <row r="73" spans="1:7" s="8" customFormat="1" ht="38.25" x14ac:dyDescent="0.25">
      <c r="A73" s="268"/>
      <c r="B73" s="139" t="s">
        <v>527</v>
      </c>
      <c r="C73" s="260" t="s">
        <v>80</v>
      </c>
      <c r="D73" s="260"/>
      <c r="E73" s="261">
        <v>1</v>
      </c>
      <c r="F73" s="262">
        <v>0</v>
      </c>
      <c r="G73" s="263">
        <f t="shared" si="7"/>
        <v>0</v>
      </c>
    </row>
    <row r="74" spans="1:7" s="8" customFormat="1" ht="16.5" x14ac:dyDescent="0.25">
      <c r="A74" s="268"/>
      <c r="B74" s="140" t="s">
        <v>526</v>
      </c>
      <c r="C74" s="260" t="s">
        <v>80</v>
      </c>
      <c r="D74" s="260"/>
      <c r="E74" s="261">
        <v>1</v>
      </c>
      <c r="F74" s="262">
        <v>0</v>
      </c>
      <c r="G74" s="263">
        <f t="shared" si="7"/>
        <v>0</v>
      </c>
    </row>
    <row r="75" spans="1:7" s="8" customFormat="1" ht="16.5" x14ac:dyDescent="0.25">
      <c r="A75" s="268"/>
      <c r="B75" s="226" t="s">
        <v>519</v>
      </c>
      <c r="C75" s="260"/>
      <c r="D75" s="260"/>
      <c r="E75" s="261"/>
      <c r="F75" s="262"/>
      <c r="G75" s="263"/>
    </row>
    <row r="76" spans="1:7" s="8" customFormat="1" ht="38.25" x14ac:dyDescent="0.25">
      <c r="A76" s="268"/>
      <c r="B76" s="139" t="s">
        <v>540</v>
      </c>
      <c r="C76" s="260" t="s">
        <v>516</v>
      </c>
      <c r="D76" s="260"/>
      <c r="E76" s="261">
        <f>9*2*6+52.75*2</f>
        <v>213.5</v>
      </c>
      <c r="F76" s="262">
        <v>0</v>
      </c>
      <c r="G76" s="263">
        <f t="shared" ref="G76:G80" si="8">E76*F76</f>
        <v>0</v>
      </c>
    </row>
    <row r="77" spans="1:7" s="8" customFormat="1" ht="38.25" x14ac:dyDescent="0.25">
      <c r="A77" s="268"/>
      <c r="B77" s="139" t="s">
        <v>527</v>
      </c>
      <c r="C77" s="260" t="s">
        <v>80</v>
      </c>
      <c r="D77" s="260"/>
      <c r="E77" s="261">
        <v>1</v>
      </c>
      <c r="F77" s="262">
        <v>0</v>
      </c>
      <c r="G77" s="263">
        <f t="shared" si="8"/>
        <v>0</v>
      </c>
    </row>
    <row r="78" spans="1:7" s="8" customFormat="1" ht="16.5" x14ac:dyDescent="0.25">
      <c r="A78" s="268"/>
      <c r="B78" s="139" t="s">
        <v>520</v>
      </c>
      <c r="C78" s="260" t="s">
        <v>95</v>
      </c>
      <c r="D78" s="260"/>
      <c r="E78" s="261">
        <f>18*5</f>
        <v>90</v>
      </c>
      <c r="F78" s="262">
        <v>0</v>
      </c>
      <c r="G78" s="263">
        <f t="shared" si="8"/>
        <v>0</v>
      </c>
    </row>
    <row r="79" spans="1:7" s="8" customFormat="1" ht="16.5" x14ac:dyDescent="0.25">
      <c r="A79" s="268"/>
      <c r="B79" s="139" t="s">
        <v>535</v>
      </c>
      <c r="C79" s="260" t="s">
        <v>95</v>
      </c>
      <c r="D79" s="260"/>
      <c r="E79" s="261">
        <f>52.75*2</f>
        <v>105.5</v>
      </c>
      <c r="F79" s="262">
        <v>0</v>
      </c>
      <c r="G79" s="263">
        <f t="shared" si="8"/>
        <v>0</v>
      </c>
    </row>
    <row r="80" spans="1:7" s="8" customFormat="1" ht="17.25" thickBot="1" x14ac:dyDescent="0.3">
      <c r="A80" s="268"/>
      <c r="B80" s="140" t="s">
        <v>526</v>
      </c>
      <c r="C80" s="260" t="s">
        <v>80</v>
      </c>
      <c r="D80" s="260"/>
      <c r="E80" s="261">
        <v>1</v>
      </c>
      <c r="F80" s="262">
        <v>0</v>
      </c>
      <c r="G80" s="263">
        <f t="shared" si="8"/>
        <v>0</v>
      </c>
    </row>
    <row r="81" spans="1:18" s="8" customFormat="1" ht="145.5" thickTop="1" x14ac:dyDescent="0.25">
      <c r="A81" s="257" t="s">
        <v>321</v>
      </c>
      <c r="B81" s="258" t="s">
        <v>612</v>
      </c>
      <c r="C81" s="249" t="s">
        <v>80</v>
      </c>
      <c r="D81" s="249"/>
      <c r="E81" s="215">
        <v>1</v>
      </c>
      <c r="F81" s="216">
        <v>0</v>
      </c>
      <c r="G81" s="217">
        <f>SUM(F81*E81)</f>
        <v>0</v>
      </c>
    </row>
    <row r="82" spans="1:18" s="7" customFormat="1" ht="63.75" x14ac:dyDescent="0.25">
      <c r="A82" s="259"/>
      <c r="B82" s="140" t="s">
        <v>543</v>
      </c>
      <c r="C82" s="260" t="s">
        <v>80</v>
      </c>
      <c r="D82" s="260"/>
      <c r="E82" s="261">
        <v>1</v>
      </c>
      <c r="F82" s="262">
        <v>0</v>
      </c>
      <c r="G82" s="263">
        <f t="shared" ref="G82:G87" si="9">E82*F82</f>
        <v>0</v>
      </c>
      <c r="I82" s="222"/>
      <c r="J82" s="222"/>
      <c r="K82" s="222"/>
      <c r="L82" s="222"/>
      <c r="M82" s="222"/>
      <c r="N82" s="222"/>
      <c r="O82" s="222"/>
      <c r="P82" s="222"/>
      <c r="Q82" s="222"/>
      <c r="R82" s="222"/>
    </row>
    <row r="83" spans="1:18" s="7" customFormat="1" ht="63.75" x14ac:dyDescent="0.25">
      <c r="A83" s="259"/>
      <c r="B83" s="140" t="s">
        <v>544</v>
      </c>
      <c r="C83" s="260" t="s">
        <v>80</v>
      </c>
      <c r="D83" s="260"/>
      <c r="E83" s="261">
        <v>1</v>
      </c>
      <c r="F83" s="262">
        <v>0</v>
      </c>
      <c r="G83" s="263">
        <f t="shared" si="9"/>
        <v>0</v>
      </c>
      <c r="I83" s="222"/>
      <c r="J83" s="222"/>
      <c r="K83" s="222"/>
      <c r="L83" s="222"/>
      <c r="M83" s="222"/>
      <c r="N83" s="222"/>
      <c r="O83" s="222"/>
      <c r="P83" s="222"/>
      <c r="Q83" s="222"/>
      <c r="R83" s="222"/>
    </row>
    <row r="84" spans="1:18" s="146" customFormat="1" ht="51" x14ac:dyDescent="0.25">
      <c r="A84" s="273"/>
      <c r="B84" s="140" t="s">
        <v>536</v>
      </c>
      <c r="C84" s="260" t="s">
        <v>95</v>
      </c>
      <c r="D84" s="260"/>
      <c r="E84" s="261">
        <v>2</v>
      </c>
      <c r="F84" s="262">
        <v>0</v>
      </c>
      <c r="G84" s="263">
        <f t="shared" si="9"/>
        <v>0</v>
      </c>
    </row>
    <row r="85" spans="1:18" s="146" customFormat="1" ht="38.25" x14ac:dyDescent="0.25">
      <c r="A85" s="257"/>
      <c r="B85" s="274" t="s">
        <v>537</v>
      </c>
      <c r="C85" s="275" t="s">
        <v>95</v>
      </c>
      <c r="D85" s="275"/>
      <c r="E85" s="276">
        <v>6</v>
      </c>
      <c r="F85" s="262">
        <v>0</v>
      </c>
      <c r="G85" s="263">
        <f t="shared" si="9"/>
        <v>0</v>
      </c>
    </row>
    <row r="86" spans="1:18" s="146" customFormat="1" ht="63.75" x14ac:dyDescent="0.25">
      <c r="A86" s="257"/>
      <c r="B86" s="274" t="s">
        <v>553</v>
      </c>
      <c r="C86" s="275" t="s">
        <v>95</v>
      </c>
      <c r="D86" s="275"/>
      <c r="E86" s="276">
        <v>6</v>
      </c>
      <c r="F86" s="262">
        <v>0</v>
      </c>
      <c r="G86" s="263">
        <f t="shared" si="9"/>
        <v>0</v>
      </c>
    </row>
    <row r="87" spans="1:18" s="146" customFormat="1" ht="17.25" thickBot="1" x14ac:dyDescent="0.3">
      <c r="A87" s="257"/>
      <c r="B87" s="277" t="s">
        <v>526</v>
      </c>
      <c r="C87" s="278" t="s">
        <v>80</v>
      </c>
      <c r="D87" s="278"/>
      <c r="E87" s="279">
        <v>1</v>
      </c>
      <c r="F87" s="280">
        <v>0</v>
      </c>
      <c r="G87" s="281">
        <f t="shared" si="9"/>
        <v>0</v>
      </c>
    </row>
    <row r="88" spans="1:18" ht="15.75" thickTop="1" x14ac:dyDescent="0.25">
      <c r="A88" s="273" t="s">
        <v>479</v>
      </c>
      <c r="B88" s="227" t="s">
        <v>438</v>
      </c>
      <c r="C88" s="249"/>
      <c r="D88" s="249"/>
      <c r="E88" s="250"/>
      <c r="F88" s="251"/>
      <c r="G88" s="291"/>
    </row>
    <row r="89" spans="1:18" x14ac:dyDescent="0.25">
      <c r="A89" s="273" t="s">
        <v>480</v>
      </c>
      <c r="B89" s="290" t="s">
        <v>14</v>
      </c>
      <c r="C89" s="164" t="s">
        <v>12</v>
      </c>
      <c r="D89" s="164"/>
      <c r="E89" s="292">
        <v>1</v>
      </c>
      <c r="F89" s="293">
        <v>0</v>
      </c>
      <c r="G89" s="294">
        <f>E89*F89</f>
        <v>0</v>
      </c>
    </row>
    <row r="90" spans="1:18" ht="15.75" thickBot="1" x14ac:dyDescent="0.3">
      <c r="A90" s="189" t="s">
        <v>481</v>
      </c>
      <c r="B90" s="59" t="s">
        <v>13</v>
      </c>
      <c r="C90" s="209" t="s">
        <v>12</v>
      </c>
      <c r="D90" s="209"/>
      <c r="E90" s="210">
        <v>8</v>
      </c>
      <c r="F90" s="211">
        <v>0</v>
      </c>
      <c r="G90" s="212">
        <f>E90*F90</f>
        <v>0</v>
      </c>
    </row>
    <row r="91" spans="1:18" ht="16.5" thickTop="1" thickBot="1" x14ac:dyDescent="0.3">
      <c r="A91" s="186"/>
      <c r="B91" s="33"/>
      <c r="C91" s="11"/>
      <c r="D91" s="11"/>
      <c r="E91" s="104"/>
      <c r="F91" s="105"/>
      <c r="G91" s="106">
        <f>SUM(G11:G90)</f>
        <v>0</v>
      </c>
    </row>
    <row r="92" spans="1:18" ht="15.75" thickTop="1" x14ac:dyDescent="0.25"/>
  </sheetData>
  <mergeCells count="2">
    <mergeCell ref="A3:B3"/>
    <mergeCell ref="A1:G1"/>
  </mergeCells>
  <printOptions horizontalCentered="1"/>
  <pageMargins left="0.39370078740157483" right="0.39370078740157483" top="0.39370078740157483" bottom="0.59055118110236227" header="0.31496062992125984" footer="0.31496062992125984"/>
  <pageSetup paperSize="9" orientation="landscape" r:id="rId1"/>
  <headerFooter>
    <oddFooter>&amp;L&amp;8CONCEPTION ET ADAPTATION ARCHITECTURALE-STRUCTURALE DES PLAN TYPES DE CENTRES PUBLICS DE FORMATION PROFESSIONNELLE ET D’ETUDES TECHNIQUES EN VUE DE LA CONSTRUCTION DU CENTRE PROFESSIONNELLE DES CAYES</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2E2A16FC092AF4F809044162C356A94" ma:contentTypeVersion="8" ma:contentTypeDescription="Create a new document." ma:contentTypeScope="" ma:versionID="8bc1fbf6ace4481b39527e4923008d87">
  <xsd:schema xmlns:xsd="http://www.w3.org/2001/XMLSchema" xmlns:xs="http://www.w3.org/2001/XMLSchema" xmlns:p="http://schemas.microsoft.com/office/2006/metadata/properties" xmlns:ns2="501a680d-a2ed-40b3-be0d-61edd474576e" xmlns:ns3="da541176-6a10-40dd-91d4-a1fe4121f31b" targetNamespace="http://schemas.microsoft.com/office/2006/metadata/properties" ma:root="true" ma:fieldsID="4d521c5276d120182ba8e5d4dfa4b893" ns2:_="" ns3:_="">
    <xsd:import namespace="501a680d-a2ed-40b3-be0d-61edd474576e"/>
    <xsd:import namespace="da541176-6a10-40dd-91d4-a1fe4121f31b"/>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DateTaken" minOccurs="0"/>
                <xsd:element ref="ns3:MediaServiceAutoTags" minOccurs="0"/>
                <xsd:element ref="ns3:MediaServiceOCR"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01a680d-a2ed-40b3-be0d-61edd474576e"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da541176-6a10-40dd-91d4-a1fe4121f31b"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MediaServiceAutoTags" ma:internalName="MediaServiceAutoTags" ma:readOnly="true">
      <xsd:simpleType>
        <xsd:restriction base="dms:Text"/>
      </xsd:simpleType>
    </xsd:element>
    <xsd:element name="MediaServiceOCR" ma:index="14" nillable="true" ma:displayName="MediaServiceOCR" ma:internalName="MediaServiceOCR" ma:readOnly="true">
      <xsd:simpleType>
        <xsd:restriction base="dms:Note">
          <xsd:maxLength value="255"/>
        </xsd:restriction>
      </xsd:simpleType>
    </xsd:element>
    <xsd:element name="MediaServiceLocation" ma:index="15" nillable="true" ma:displayName="MediaServic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B49EFB5E-29BB-4483-B739-03BAD51FC8D1}"/>
</file>

<file path=customXml/itemProps2.xml><?xml version="1.0" encoding="utf-8"?>
<ds:datastoreItem xmlns:ds="http://schemas.openxmlformats.org/officeDocument/2006/customXml" ds:itemID="{8AB8E335-2AE0-4BC0-A923-241BA6103CB0}"/>
</file>

<file path=customXml/itemProps3.xml><?xml version="1.0" encoding="utf-8"?>
<ds:datastoreItem xmlns:ds="http://schemas.openxmlformats.org/officeDocument/2006/customXml" ds:itemID="{F33F9044-B831-45F5-BE81-F516F80BFE26}"/>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14</vt:i4>
      </vt:variant>
    </vt:vector>
  </HeadingPairs>
  <TitlesOfParts>
    <vt:vector size="14" baseType="lpstr">
      <vt:lpstr>--RESUME--</vt:lpstr>
      <vt:lpstr>01</vt:lpstr>
      <vt:lpstr>02</vt:lpstr>
      <vt:lpstr>03</vt:lpstr>
      <vt:lpstr>04</vt:lpstr>
      <vt:lpstr>05</vt:lpstr>
      <vt:lpstr>06</vt:lpstr>
      <vt:lpstr>07</vt:lpstr>
      <vt:lpstr>08</vt:lpstr>
      <vt:lpstr>09</vt:lpstr>
      <vt:lpstr>10</vt:lpstr>
      <vt:lpstr>11</vt:lpstr>
      <vt:lpstr>12</vt:lpstr>
      <vt:lpstr>13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Ricardo Gijon R</dc:creator>
  <cp:lastModifiedBy>Kathleen Blain</cp:lastModifiedBy>
  <cp:lastPrinted>2018-05-15T14:46:14Z</cp:lastPrinted>
  <dcterms:created xsi:type="dcterms:W3CDTF">2017-05-22T14:32:07Z</dcterms:created>
  <dcterms:modified xsi:type="dcterms:W3CDTF">2019-01-24T21:06:30Z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0x010100C2E2A16FC092AF4F809044162C356A94</vt:lpwstr>
  </property>
</Properties>
</file>