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16"/>
  <workbookPr defaultThemeVersion="124226"/>
  <mc:AlternateContent xmlns:mc="http://schemas.openxmlformats.org/markup-compatibility/2006">
    <mc:Choice Requires="x15">
      <x15ac:absPath xmlns:x15ac="http://schemas.microsoft.com/office/spreadsheetml/2010/11/ac" url="\\WIN-HJKL0CKD31B\Users\Public\Backup\CSJ\Palacio de Justicia\Saltos del Guaira\DOC\SDP 573-2020 - Obras integrales Salto del Guaira\"/>
    </mc:Choice>
  </mc:AlternateContent>
  <xr:revisionPtr revIDLastSave="0" documentId="11_483FAA8C0F5A8B369C18AA893F9A92009580B9C3" xr6:coauthVersionLast="45" xr6:coauthVersionMax="45" xr10:uidLastSave="{00000000-0000-0000-0000-000000000000}"/>
  <bookViews>
    <workbookView xWindow="-15" yWindow="-15" windowWidth="15975" windowHeight="12840" tabRatio="786" xr2:uid="{00000000-000D-0000-FFFF-FFFF00000000}"/>
  </bookViews>
  <sheets>
    <sheet name="Resumen" sheetId="15" r:id="rId1"/>
    <sheet name="A.1 Obras Civiles" sheetId="16" r:id="rId2"/>
    <sheet name="A.2 Climatizacion" sheetId="17" r:id="rId3"/>
    <sheet name="A.3 Integracion Elec." sheetId="18" r:id="rId4"/>
    <sheet name="A.4 Seg. Electron." sheetId="19" r:id="rId5"/>
    <sheet name="A.5 Com. Oral" sheetId="20" r:id="rId6"/>
    <sheet name="A.6 Telefonia" sheetId="21" r:id="rId7"/>
    <sheet name="A.7 Datos" sheetId="22" r:id="rId8"/>
    <sheet name="A.8 Ascensores" sheetId="23" r:id="rId9"/>
    <sheet name="A.9 Generador" sheetId="24" r:id="rId10"/>
  </sheets>
  <externalReferences>
    <externalReference r:id="rId11"/>
  </externalReferences>
  <definedNames>
    <definedName name="Print_Titles" localSheetId="1">'A.1 Obras Civiles'!$1:$7</definedName>
    <definedName name="Print_Titles" localSheetId="3">'A.3 Integracion Elec.'!$1:$7</definedName>
    <definedName name="Print_Titles" localSheetId="4">'A.4 Seg. Electron.'!$1:$7</definedName>
    <definedName name="Print_Titles" localSheetId="5">'A.5 Com. Oral'!$1:$7</definedName>
    <definedName name="Print_Titles" localSheetId="6">'A.6 Telefonia'!$1:$7</definedName>
    <definedName name="Print_Titles" localSheetId="7">'A.7 Datos'!$1:$7</definedName>
    <definedName name="Print_Titles" localSheetId="8">'A.8 Ascensores'!$1:$7</definedName>
    <definedName name="_xlnm.Print_Titles" localSheetId="1">'A.1 Obras Civiles'!$1:$7</definedName>
    <definedName name="_xlnm.Print_Titles" localSheetId="2">'A.2 Climatizacion'!$1:$7</definedName>
    <definedName name="_xlnm.Print_Titles" localSheetId="3">'A.3 Integracion Elec.'!$1:$7</definedName>
    <definedName name="_xlnm.Print_Titles" localSheetId="4">'A.4 Seg. Electron.'!$1:$7</definedName>
    <definedName name="_xlnm.Print_Titles" localSheetId="5">'A.5 Com. Oral'!$1:$8</definedName>
    <definedName name="_xlnm.Print_Titles" localSheetId="6">'A.6 Telefonia'!$1:$7</definedName>
    <definedName name="_xlnm.Print_Titles" localSheetId="8">'A.8 Ascensores'!$1:$7</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8" i="17" l="1"/>
  <c r="F67" i="17"/>
  <c r="F2461" i="16"/>
  <c r="F2460" i="16"/>
  <c r="F2305" i="16" l="1"/>
  <c r="F101" i="16"/>
  <c r="F102" i="16"/>
  <c r="F58" i="16" l="1"/>
  <c r="F3543" i="16" l="1"/>
  <c r="F3541" i="16"/>
  <c r="F3540" i="16"/>
  <c r="F3586" i="16" l="1"/>
  <c r="F3591" i="16"/>
  <c r="F3585" i="16"/>
  <c r="F3584" i="16"/>
  <c r="F261" i="16" l="1"/>
  <c r="F3504" i="16" l="1"/>
  <c r="F3503" i="16"/>
  <c r="F3499" i="16"/>
  <c r="F3498" i="16"/>
  <c r="F3497" i="16"/>
  <c r="F3496" i="16"/>
  <c r="F3483" i="16"/>
  <c r="F2249" i="16"/>
  <c r="F2248" i="16"/>
  <c r="F2246" i="16"/>
  <c r="F2245" i="16"/>
  <c r="F2243" i="16"/>
  <c r="F2240" i="16"/>
  <c r="F1607" i="16"/>
  <c r="F1606" i="16"/>
  <c r="F1503" i="16"/>
  <c r="F1495" i="16"/>
  <c r="F1487" i="16"/>
  <c r="F1461" i="16"/>
  <c r="F1446" i="16"/>
  <c r="F1445" i="16"/>
  <c r="F1442" i="16"/>
  <c r="F1061" i="16"/>
  <c r="F1060" i="16"/>
  <c r="F1059" i="16"/>
  <c r="F1057" i="16"/>
  <c r="F1055" i="16"/>
  <c r="F1054" i="16"/>
  <c r="F1053" i="16"/>
  <c r="F1049" i="16"/>
  <c r="F1046" i="16"/>
  <c r="F1045" i="16"/>
  <c r="F1044" i="16"/>
  <c r="F1040" i="16"/>
  <c r="F1039" i="16"/>
  <c r="F1038" i="16"/>
  <c r="F1036" i="16"/>
  <c r="F1031" i="16"/>
  <c r="F1030" i="16"/>
  <c r="F1029" i="16"/>
  <c r="F1028" i="16"/>
  <c r="F1027" i="16"/>
  <c r="F1012" i="16"/>
  <c r="F1011" i="16"/>
  <c r="F1010" i="16"/>
  <c r="F1008" i="16"/>
  <c r="F1003" i="16"/>
  <c r="F1002" i="16"/>
  <c r="F1001" i="16"/>
  <c r="F1000" i="16"/>
  <c r="F999" i="16"/>
  <c r="F994" i="16"/>
  <c r="F993" i="16"/>
  <c r="F992" i="16"/>
  <c r="F991" i="16"/>
  <c r="F990" i="16"/>
  <c r="F985" i="16"/>
  <c r="F984" i="16"/>
  <c r="F983" i="16"/>
  <c r="F982" i="16"/>
  <c r="F981" i="16"/>
  <c r="F976" i="16"/>
  <c r="F975" i="16"/>
  <c r="F974" i="16"/>
  <c r="F973" i="16"/>
  <c r="F972" i="16"/>
  <c r="F967" i="16"/>
  <c r="F966" i="16"/>
  <c r="F965" i="16"/>
  <c r="F964" i="16"/>
  <c r="F963" i="16"/>
  <c r="F958" i="16"/>
  <c r="F957" i="16"/>
  <c r="F956" i="16"/>
  <c r="F955" i="16"/>
  <c r="F954" i="16"/>
  <c r="F946" i="16"/>
  <c r="F926" i="16"/>
  <c r="F920" i="16"/>
  <c r="F919" i="16"/>
  <c r="F918" i="16"/>
  <c r="F917" i="16"/>
  <c r="F916" i="16"/>
  <c r="F911" i="16"/>
  <c r="F907" i="16"/>
  <c r="F906" i="16"/>
  <c r="F905" i="16"/>
  <c r="F903" i="16"/>
  <c r="F791" i="16"/>
  <c r="F729" i="16"/>
  <c r="F635" i="16"/>
  <c r="F633" i="16"/>
  <c r="F631" i="16"/>
  <c r="F629" i="16"/>
  <c r="F627" i="16"/>
  <c r="F624" i="16"/>
  <c r="F617" i="16"/>
  <c r="F614" i="16"/>
  <c r="F607" i="16"/>
  <c r="F606" i="16"/>
  <c r="F605" i="16"/>
  <c r="F603" i="16"/>
  <c r="F602" i="16"/>
  <c r="F601" i="16"/>
  <c r="F600" i="16"/>
  <c r="F599" i="16"/>
  <c r="F579" i="16"/>
  <c r="F578" i="16"/>
  <c r="F572" i="16"/>
  <c r="F566" i="16"/>
  <c r="F560" i="16"/>
  <c r="F554" i="16"/>
  <c r="F541" i="16"/>
  <c r="F540" i="16"/>
  <c r="F539" i="16"/>
  <c r="F538" i="16"/>
  <c r="F534" i="16"/>
  <c r="F533" i="16"/>
  <c r="F532" i="16"/>
  <c r="F531" i="16"/>
  <c r="F527" i="16"/>
  <c r="F526" i="16"/>
  <c r="F525" i="16"/>
  <c r="F524" i="16"/>
  <c r="F520" i="16"/>
  <c r="F519" i="16"/>
  <c r="F518" i="16"/>
  <c r="F517" i="16"/>
  <c r="F513" i="16"/>
  <c r="F512" i="16"/>
  <c r="F511" i="16"/>
  <c r="F510" i="16"/>
  <c r="F506" i="16"/>
  <c r="F505" i="16"/>
  <c r="F504" i="16"/>
  <c r="F497" i="16"/>
  <c r="F494" i="16"/>
  <c r="F491" i="16"/>
  <c r="F489" i="16"/>
  <c r="F488" i="16"/>
  <c r="F485" i="16"/>
  <c r="F483" i="16"/>
  <c r="F482" i="16"/>
  <c r="F479" i="16"/>
  <c r="F477" i="16"/>
  <c r="F476" i="16"/>
  <c r="F473" i="16"/>
  <c r="F470" i="16"/>
  <c r="F466" i="16"/>
  <c r="F463" i="16"/>
  <c r="F457" i="16"/>
  <c r="F455" i="16"/>
  <c r="F454" i="16"/>
  <c r="F451" i="16"/>
  <c r="F450" i="16"/>
  <c r="F448" i="16"/>
  <c r="F447" i="16"/>
  <c r="F443" i="16"/>
  <c r="F441" i="16"/>
  <c r="F440" i="16"/>
  <c r="F439" i="16"/>
  <c r="F438" i="16"/>
  <c r="F436" i="16"/>
  <c r="F435" i="16"/>
  <c r="F434" i="16"/>
  <c r="F432" i="16"/>
  <c r="F431" i="16"/>
  <c r="F428" i="16"/>
  <c r="F427" i="16"/>
  <c r="F425" i="16"/>
  <c r="F424" i="16"/>
  <c r="F423" i="16"/>
  <c r="F420" i="16"/>
  <c r="F419" i="16"/>
  <c r="F416" i="16"/>
  <c r="F409" i="16"/>
  <c r="F407" i="16"/>
  <c r="F403" i="16"/>
  <c r="F402" i="16"/>
  <c r="F401" i="16"/>
  <c r="F398" i="16"/>
  <c r="F394" i="16"/>
  <c r="F388" i="16"/>
  <c r="F387" i="16"/>
  <c r="F385" i="16"/>
  <c r="F384" i="16"/>
  <c r="F382" i="16"/>
  <c r="F381" i="16"/>
  <c r="F379" i="16"/>
  <c r="F378" i="16"/>
  <c r="F371" i="16"/>
  <c r="F370" i="16"/>
  <c r="F369" i="16"/>
  <c r="F366" i="16"/>
  <c r="F362" i="16"/>
  <c r="F361" i="16"/>
  <c r="F358" i="16"/>
  <c r="F354" i="16"/>
  <c r="F350" i="16"/>
  <c r="F346" i="16"/>
  <c r="F342" i="16"/>
  <c r="F341" i="16"/>
  <c r="F340" i="16"/>
  <c r="F338" i="16"/>
  <c r="F336" i="16"/>
  <c r="F334" i="16"/>
  <c r="F332" i="16"/>
  <c r="F330" i="16"/>
  <c r="F328" i="16"/>
  <c r="F326" i="16"/>
  <c r="F324" i="16"/>
  <c r="F321" i="16"/>
  <c r="F320" i="16"/>
  <c r="F316" i="16"/>
  <c r="F315" i="16"/>
  <c r="F308" i="16"/>
  <c r="F307" i="16"/>
  <c r="F303" i="16"/>
  <c r="F302" i="16"/>
  <c r="F300" i="16"/>
  <c r="F298" i="16"/>
  <c r="F297" i="16"/>
  <c r="F296" i="16"/>
  <c r="F295" i="16"/>
  <c r="F294" i="16"/>
  <c r="F291" i="16"/>
  <c r="F287" i="16"/>
  <c r="F286" i="16"/>
  <c r="F273" i="16"/>
  <c r="F266" i="16"/>
  <c r="F265" i="16"/>
  <c r="F264" i="16"/>
  <c r="F260" i="16"/>
  <c r="F259" i="16"/>
  <c r="F258" i="16"/>
  <c r="F257" i="16"/>
  <c r="F252" i="16"/>
  <c r="F251" i="16"/>
  <c r="F248" i="16"/>
  <c r="F247" i="16"/>
  <c r="F246" i="16"/>
  <c r="F245" i="16"/>
  <c r="F244" i="16"/>
  <c r="F242" i="16"/>
  <c r="F241" i="16"/>
  <c r="F240" i="16"/>
  <c r="F239" i="16"/>
  <c r="F236" i="16"/>
  <c r="F235" i="16"/>
  <c r="F234" i="16"/>
  <c r="F233" i="16"/>
  <c r="F230" i="16"/>
  <c r="F228" i="16"/>
  <c r="F227" i="16"/>
  <c r="F226" i="16"/>
  <c r="F224" i="16"/>
  <c r="F223" i="16"/>
  <c r="F229" i="16" s="1"/>
  <c r="F222" i="16"/>
  <c r="F221" i="16"/>
  <c r="F217" i="16"/>
  <c r="F216" i="16"/>
  <c r="F215" i="16"/>
  <c r="F214" i="16"/>
  <c r="F213" i="16"/>
  <c r="F211" i="16"/>
  <c r="F210" i="16"/>
  <c r="F209" i="16"/>
  <c r="F207" i="16"/>
  <c r="F205" i="16"/>
  <c r="F204" i="16"/>
  <c r="F203" i="16"/>
  <c r="F201" i="16"/>
  <c r="F199" i="16"/>
  <c r="F198" i="16"/>
  <c r="F197" i="16"/>
  <c r="F195" i="16"/>
  <c r="F193" i="16"/>
  <c r="F192" i="16"/>
  <c r="F191" i="16"/>
  <c r="F189" i="16"/>
  <c r="F187" i="16"/>
  <c r="F186" i="16"/>
  <c r="F185" i="16"/>
  <c r="F183" i="16"/>
  <c r="F181" i="16"/>
  <c r="F180" i="16"/>
  <c r="F179" i="16"/>
  <c r="F177" i="16"/>
  <c r="F173" i="16"/>
  <c r="F172" i="16"/>
  <c r="F170" i="16"/>
  <c r="F167" i="16"/>
  <c r="F166" i="16"/>
  <c r="F164" i="16"/>
  <c r="F162" i="16"/>
  <c r="F160" i="16"/>
  <c r="F156" i="16"/>
  <c r="F154" i="16"/>
  <c r="F150" i="16"/>
  <c r="F148" i="16"/>
  <c r="F144" i="16"/>
  <c r="F143" i="16"/>
  <c r="F141" i="16"/>
  <c r="F140" i="16"/>
  <c r="F147" i="16" s="1"/>
  <c r="F153" i="16" s="1"/>
  <c r="F159" i="16" s="1"/>
  <c r="F165" i="16" s="1"/>
  <c r="F137" i="16"/>
  <c r="F135" i="16"/>
  <c r="F134" i="16"/>
  <c r="F133" i="16"/>
  <c r="F119" i="16"/>
  <c r="F118" i="16"/>
  <c r="F117" i="16"/>
  <c r="F114" i="16"/>
  <c r="F107" i="16"/>
  <c r="F106" i="16"/>
  <c r="F24" i="16"/>
  <c r="F23" i="16"/>
  <c r="F20" i="16"/>
  <c r="F19" i="16"/>
  <c r="F14" i="16"/>
  <c r="F60" i="23" l="1"/>
  <c r="F47" i="23"/>
  <c r="F42" i="23"/>
  <c r="F40" i="23"/>
  <c r="F33" i="23"/>
  <c r="F35" i="23"/>
  <c r="F21" i="22"/>
  <c r="F22" i="22" s="1"/>
  <c r="F20" i="22" l="1"/>
  <c r="F23" i="22"/>
  <c r="F19" i="22" s="1"/>
  <c r="F18" i="22"/>
  <c r="F25" i="22" s="1"/>
  <c r="F20" i="20" l="1"/>
  <c r="F27" i="19" l="1"/>
  <c r="B3" i="18" l="1"/>
  <c r="B3" i="19"/>
  <c r="B3" i="20"/>
  <c r="B3" i="21"/>
  <c r="B3" i="22"/>
  <c r="B3" i="23"/>
  <c r="B3" i="24"/>
  <c r="B3" i="17"/>
  <c r="B2" i="17"/>
  <c r="B1" i="17"/>
  <c r="F26" i="22" l="1"/>
  <c r="F54" i="21"/>
  <c r="F53" i="21"/>
  <c r="F52" i="21"/>
  <c r="F51" i="21"/>
  <c r="F50" i="21"/>
  <c r="F49" i="21"/>
  <c r="F48" i="21"/>
  <c r="F47" i="21"/>
  <c r="B1" i="16"/>
  <c r="B2" i="16"/>
  <c r="B3" i="16"/>
</calcChain>
</file>

<file path=xl/sharedStrings.xml><?xml version="1.0" encoding="utf-8"?>
<sst xmlns="http://schemas.openxmlformats.org/spreadsheetml/2006/main" count="13918" uniqueCount="5959">
  <si>
    <t>CORTE SUPREMA DE JUSTICIA - PROGRAMA DE LAS NACIONES UNIDAS PARA EL DESARROLLO</t>
  </si>
  <si>
    <t>"PROGRAMA DE INFRAESTRUCTURA EDILICIA CSJ - PNUD"</t>
  </si>
  <si>
    <t>SDP/00014311/573/2020 - OBRAS CIVILES, INSTALACIONES Y MANTENIMIENTO POSTERIOR - PALACIO DE JUSTICIA DE SALTO DEL GUAIRÁ.</t>
  </si>
  <si>
    <t>RESUMEN DEL PRESUPUESTO</t>
  </si>
  <si>
    <t>Item</t>
  </si>
  <si>
    <t>Descripción</t>
  </si>
  <si>
    <t>Precio Total</t>
  </si>
  <si>
    <t>Nº</t>
  </si>
  <si>
    <t>Gs. Iva Incluido</t>
  </si>
  <si>
    <t>A</t>
  </si>
  <si>
    <t>OBRAS CIVILES E INSTALACIONES</t>
  </si>
  <si>
    <t>A.1</t>
  </si>
  <si>
    <t>Obras Civiles</t>
  </si>
  <si>
    <t>A.2</t>
  </si>
  <si>
    <t>Sistema de Climatizacion</t>
  </si>
  <si>
    <t>A.3</t>
  </si>
  <si>
    <t>Sistema de Integracion Electronica</t>
  </si>
  <si>
    <t>A.4</t>
  </si>
  <si>
    <t>Sistema de Seguridad Electronica</t>
  </si>
  <si>
    <t>A.5</t>
  </si>
  <si>
    <t>Sistema de Comunicación Oral y Musica Funcional</t>
  </si>
  <si>
    <t>A.6</t>
  </si>
  <si>
    <t>Sistema de Telefonia</t>
  </si>
  <si>
    <t>A.7</t>
  </si>
  <si>
    <t>Red de Datos</t>
  </si>
  <si>
    <t>A.8</t>
  </si>
  <si>
    <t xml:space="preserve">Ascensores </t>
  </si>
  <si>
    <t>A.9</t>
  </si>
  <si>
    <t>Generador de Emergencia</t>
  </si>
  <si>
    <t>Total de Obras e Instalaciones</t>
  </si>
  <si>
    <t>B</t>
  </si>
  <si>
    <t>MANTENIMIENTO DE LAS OBRAS E INSTALACIONES</t>
  </si>
  <si>
    <t>B.1</t>
  </si>
  <si>
    <t>B.2</t>
  </si>
  <si>
    <t>B.3</t>
  </si>
  <si>
    <t>B.4</t>
  </si>
  <si>
    <t>B.5</t>
  </si>
  <si>
    <t>B.6</t>
  </si>
  <si>
    <t>B.7</t>
  </si>
  <si>
    <t>B.8</t>
  </si>
  <si>
    <t>B.9</t>
  </si>
  <si>
    <t>Total Mantenimiento de las Obras e Instalaciones</t>
  </si>
  <si>
    <t>Total General</t>
  </si>
  <si>
    <t xml:space="preserve">Son Guaranies . . . . . . . </t>
  </si>
  <si>
    <t>A.1 PLANILLA DE CÓMPUTO MÉTRICO Y PRESUPUESTO - OBRAS CIVILES</t>
  </si>
  <si>
    <t>Ítem</t>
  </si>
  <si>
    <t>Cód.</t>
  </si>
  <si>
    <t>Descripción de Rubros</t>
  </si>
  <si>
    <t>Un</t>
  </si>
  <si>
    <t>Cantidad</t>
  </si>
  <si>
    <t>Precio Unit.</t>
  </si>
  <si>
    <t>E.T.</t>
  </si>
  <si>
    <t xml:space="preserve">TRABAJOS PRELIMINARES OBRAS PROVISORIAS </t>
  </si>
  <si>
    <t>1.1</t>
  </si>
  <si>
    <t>Limpieza de terreno</t>
  </si>
  <si>
    <t>m2</t>
  </si>
  <si>
    <t>1.2</t>
  </si>
  <si>
    <t>A.2, A.3, A.4, A.5</t>
  </si>
  <si>
    <t>Gastos de movilizacion y ejecucion durante el periodo de obra. Ver Items de las Especificaciones Tecnicas A.2, A.3, A.4 y A.5.</t>
  </si>
  <si>
    <t>Gl.</t>
  </si>
  <si>
    <t>1.3</t>
  </si>
  <si>
    <t>Replanteo y marcación de obra</t>
  </si>
  <si>
    <t>MOVIMIENTO DE SUELO</t>
  </si>
  <si>
    <t>2.1</t>
  </si>
  <si>
    <t xml:space="preserve">EXCAVACIÓN  </t>
  </si>
  <si>
    <t>2.1.1</t>
  </si>
  <si>
    <t>Desbroce de terreno</t>
  </si>
  <si>
    <t>2.1.2</t>
  </si>
  <si>
    <t>Excavación hasta cota de implantación del Edificio</t>
  </si>
  <si>
    <t>m3</t>
  </si>
  <si>
    <t>2.1.3</t>
  </si>
  <si>
    <t>De suelo para zapatas</t>
  </si>
  <si>
    <t>2.1.4</t>
  </si>
  <si>
    <t xml:space="preserve">Excavación de suelo  para cabezales y  vigas de fundación </t>
  </si>
  <si>
    <t>2.1.5</t>
  </si>
  <si>
    <t>Estacionamiento de magistrados y Funcionarios, veredas y camineros.</t>
  </si>
  <si>
    <t>2.1.6</t>
  </si>
  <si>
    <t xml:space="preserve">Cajas de ascensor.  </t>
  </si>
  <si>
    <t>2.1.7</t>
  </si>
  <si>
    <t>Para Cámaras, Sumideros y registros</t>
  </si>
  <si>
    <t>2.2</t>
  </si>
  <si>
    <t>RELLENO Y COMPACTACIÓN</t>
  </si>
  <si>
    <t>2.2.1</t>
  </si>
  <si>
    <t>Adyacente a pantallas de subsuelos y cajas de ascensores; reservorios y registros.</t>
  </si>
  <si>
    <t>2.2.2</t>
  </si>
  <si>
    <t>Area de implantación del edificio.</t>
  </si>
  <si>
    <t>2.2.3</t>
  </si>
  <si>
    <t>En áreas de pisos, camineros, veredas, rampas y escaleras exteriores hasta cota de contrapiso.</t>
  </si>
  <si>
    <t>2.2.4</t>
  </si>
  <si>
    <t xml:space="preserve">En áreas de canteros de jardinería. </t>
  </si>
  <si>
    <t>2.2.5</t>
  </si>
  <si>
    <t>En área de cesped.</t>
  </si>
  <si>
    <t>C</t>
  </si>
  <si>
    <t>CIMENTACIONES</t>
  </si>
  <si>
    <t>3.1</t>
  </si>
  <si>
    <t>EDIFICIO PRINCIPAL (BLOQUES A, B, C y D)</t>
  </si>
  <si>
    <t>3.1.1</t>
  </si>
  <si>
    <t>C.3</t>
  </si>
  <si>
    <r>
      <t xml:space="preserve">Pilotes de H°A° de </t>
    </r>
    <r>
      <rPr>
        <sz val="10"/>
        <color rgb="FFFF0000"/>
        <rFont val="Arial"/>
        <family val="2"/>
      </rPr>
      <t>40 cm</t>
    </r>
    <r>
      <rPr>
        <sz val="10"/>
        <rFont val="Arial"/>
        <family val="2"/>
      </rPr>
      <t xml:space="preserve">. de diámetro, perforados a máquina, suelo estabilizado con lodo bentonítico, longitud neta mínima </t>
    </r>
    <r>
      <rPr>
        <sz val="10"/>
        <color rgb="FFFF0000"/>
        <rFont val="Arial"/>
        <family val="2"/>
      </rPr>
      <t xml:space="preserve">12,00 </t>
    </r>
    <r>
      <rPr>
        <sz val="10"/>
        <rFont val="Arial"/>
        <family val="2"/>
      </rPr>
      <t>m, descontando el desmoche. La longitud se considera desde la base del cabezal al extremo inferior del pilote, cuya cota de apoyo estará en el entorno de los 82,00 m.</t>
    </r>
  </si>
  <si>
    <t>un</t>
  </si>
  <si>
    <t>3.1.2</t>
  </si>
  <si>
    <t>Pilotes de H°A° de 60 cm. de diámetro, perforados a máquina, suelo estabilizado con lodo bentonítico, longitud neta mínima 12,00 m, descontando el desmoche. La longitud se considera desde la base del cabezal al extremo inferior del pilote, cuya cota de apoyo estará en el entorno de los 82,00 m.</t>
  </si>
  <si>
    <t>3.1.3</t>
  </si>
  <si>
    <t>Pilotes de H°A° de 80 cm. de diámetro, perforados a máquina, suelo estabilizado con lodo bentonítico, longitud neta mínima 12,00 m, descontando el desmoche. La longitud se considera desde la base del cabezal al extremo inferior del pilote.</t>
  </si>
  <si>
    <t>3.1.4</t>
  </si>
  <si>
    <t>Pilotes de H°A° de 100 cm. de diámetro, perforados a máquina, suelo estabilizado con lodo bentonítico, longitud neta mínima 12,00 m, descontando el desmoche. La longitud se considera desde la base del cabezal al extremo inferior del pilote, cuya cota de apoyo estará en el entorno de los 82,00 m.</t>
  </si>
  <si>
    <t>3.1.5</t>
  </si>
  <si>
    <t>Pilotes de H°A° de 120 cm. de diámetro, perforados a máquina, suelo estabilizado con lodo bentonítico, longitud neta mínima 12,00 m, descontando el desmoche. La longitud se considera desde la base del cabezal al extremo inferior del pilote, cuya cota de apoyo estará en el entorno de los 82,00 m.</t>
  </si>
  <si>
    <t>3.1.6</t>
  </si>
  <si>
    <t>C.5</t>
  </si>
  <si>
    <t>Cabezales</t>
  </si>
  <si>
    <t>3.2</t>
  </si>
  <si>
    <t>BLOQUE E - SALON AUDITORIO Y CAFETERÍA</t>
  </si>
  <si>
    <t>3.2.1</t>
  </si>
  <si>
    <t>3.2.2</t>
  </si>
  <si>
    <t>3.2.3</t>
  </si>
  <si>
    <t>3.3</t>
  </si>
  <si>
    <t>BLOQUE F - GUARDERÍA</t>
  </si>
  <si>
    <t>3.3.1</t>
  </si>
  <si>
    <t>3.3.2</t>
  </si>
  <si>
    <t>3.4</t>
  </si>
  <si>
    <t>AREA TÉCNICA Y SERVICIOS</t>
  </si>
  <si>
    <t>3.5</t>
  </si>
  <si>
    <t>EXTERIORES</t>
  </si>
  <si>
    <t>3.5.1</t>
  </si>
  <si>
    <t>C.2</t>
  </si>
  <si>
    <t>Zapatas de H°A° de Muros</t>
  </si>
  <si>
    <t>3.5.2</t>
  </si>
  <si>
    <t>D.2</t>
  </si>
  <si>
    <t>Fuste enterrado hasta viga de fundación.</t>
  </si>
  <si>
    <t>D</t>
  </si>
  <si>
    <t>ESTRUCTURA DE HORMIGÓN ARMADO</t>
  </si>
  <si>
    <t>4.1</t>
  </si>
  <si>
    <t>SUBSUELO 2 - BLOQUE B</t>
  </si>
  <si>
    <t>4.1.1</t>
  </si>
  <si>
    <t>D.3 - D.4</t>
  </si>
  <si>
    <t>Vigas  de fundación y Losas de piso</t>
  </si>
  <si>
    <t>4.1.2</t>
  </si>
  <si>
    <t>D.7</t>
  </si>
  <si>
    <r>
      <t xml:space="preserve">Pantalla perimetral de </t>
    </r>
    <r>
      <rPr>
        <sz val="10"/>
        <color indexed="8"/>
        <rFont val="Arial"/>
        <family val="2"/>
      </rPr>
      <t>20 cm</t>
    </r>
    <r>
      <rPr>
        <sz val="10"/>
        <color indexed="60"/>
        <rFont val="Arial"/>
        <family val="2"/>
      </rPr>
      <t>.</t>
    </r>
    <r>
      <rPr>
        <sz val="10"/>
        <rFont val="Arial"/>
        <family val="2"/>
      </rPr>
      <t xml:space="preserve"> de espesor </t>
    </r>
  </si>
  <si>
    <t>4.1.3</t>
  </si>
  <si>
    <t>Pilares</t>
  </si>
  <si>
    <t>4.1.4</t>
  </si>
  <si>
    <t xml:space="preserve"> Losas y Capiteles de Techo </t>
  </si>
  <si>
    <t>4.1.5</t>
  </si>
  <si>
    <t>D.6</t>
  </si>
  <si>
    <t>Escalera</t>
  </si>
  <si>
    <t>4.2</t>
  </si>
  <si>
    <t>SUBSUELO 1 - BLOQUES A, B, C, D</t>
  </si>
  <si>
    <t>4.2.1</t>
  </si>
  <si>
    <t xml:space="preserve">Pantalla perimetral de 20 cm. de espesor </t>
  </si>
  <si>
    <t>4.2.2</t>
  </si>
  <si>
    <t>4.2.3</t>
  </si>
  <si>
    <t>Vigas y Losas Techo 200</t>
  </si>
  <si>
    <t>4.2.4</t>
  </si>
  <si>
    <t>Escaleras</t>
  </si>
  <si>
    <t>4.3</t>
  </si>
  <si>
    <t>PLANTA BAJA - BLOQUES A, B, C, D, E</t>
  </si>
  <si>
    <t>4.3.1</t>
  </si>
  <si>
    <t>4.3.2</t>
  </si>
  <si>
    <t xml:space="preserve">D.3 </t>
  </si>
  <si>
    <t>Losas de techo</t>
  </si>
  <si>
    <t>4.3.3</t>
  </si>
  <si>
    <t>D.4</t>
  </si>
  <si>
    <t>Vigas de techo</t>
  </si>
  <si>
    <t>4.3.4</t>
  </si>
  <si>
    <t>4.4</t>
  </si>
  <si>
    <t>PRIMER PISO - BLOQUES A, B, C</t>
  </si>
  <si>
    <t>4.4.1</t>
  </si>
  <si>
    <t>4.4.2</t>
  </si>
  <si>
    <t>4.4.3</t>
  </si>
  <si>
    <t>4.4.4</t>
  </si>
  <si>
    <t>4.5</t>
  </si>
  <si>
    <t>SEGUNDO PISO - BLOQUES A, B, C</t>
  </si>
  <si>
    <t>4.5.1</t>
  </si>
  <si>
    <t>4.5.2</t>
  </si>
  <si>
    <t>4.5.3</t>
  </si>
  <si>
    <t>4.5.4</t>
  </si>
  <si>
    <t>4.6</t>
  </si>
  <si>
    <t>TERCER - BLOQUES A, B, C, D</t>
  </si>
  <si>
    <t>4.6.1</t>
  </si>
  <si>
    <t>4.6.2</t>
  </si>
  <si>
    <t>4.6.3</t>
  </si>
  <si>
    <t>4.6.4</t>
  </si>
  <si>
    <t>4.7</t>
  </si>
  <si>
    <t>CUARTO - BLOQUES A, B, C</t>
  </si>
  <si>
    <t>4.7.1</t>
  </si>
  <si>
    <t>4.7.2</t>
  </si>
  <si>
    <t>4.7.3</t>
  </si>
  <si>
    <t>4.7.4</t>
  </si>
  <si>
    <t>4.8</t>
  </si>
  <si>
    <t>QUINTO - BLOQUES A, B</t>
  </si>
  <si>
    <t>4.8.1</t>
  </si>
  <si>
    <t>4.8.2</t>
  </si>
  <si>
    <t>4.8.3</t>
  </si>
  <si>
    <t>4.8.4</t>
  </si>
  <si>
    <t>4.9</t>
  </si>
  <si>
    <t>SEXTO - BLOQUES A, B</t>
  </si>
  <si>
    <t>4.9.1</t>
  </si>
  <si>
    <t>4.9.2</t>
  </si>
  <si>
    <t>4.9.3</t>
  </si>
  <si>
    <t>4.9.4</t>
  </si>
  <si>
    <t>4.9.5</t>
  </si>
  <si>
    <t>Tanques superiores</t>
  </si>
  <si>
    <t>4.10</t>
  </si>
  <si>
    <t>AZOTEA - BLOQUE B</t>
  </si>
  <si>
    <t>SEGURIDAD EN OBRA</t>
  </si>
  <si>
    <t>D.O</t>
  </si>
  <si>
    <t>Bandeja de proteccion de 2m. de ancho en dos niveles en los bloques A, B y D techo de 1° piso y techo de 3° piso. En un nivel en el bloque C techo de 1° piso.</t>
  </si>
  <si>
    <t>ml</t>
  </si>
  <si>
    <t>Barandas metalicas de varillas de proteccion en escaleras y ascensores</t>
  </si>
  <si>
    <t>MAMPOSTERÍA</t>
  </si>
  <si>
    <t>5.1</t>
  </si>
  <si>
    <t>5.1.1</t>
  </si>
  <si>
    <t>E.1</t>
  </si>
  <si>
    <t>Mampostería de elevación con ladrillos comunes de 0,15m</t>
  </si>
  <si>
    <t>5.1.2</t>
  </si>
  <si>
    <t>Mampostería de elevación con ladrillos comunes de 0,20m</t>
  </si>
  <si>
    <t>5.1.3</t>
  </si>
  <si>
    <t>5.1.4</t>
  </si>
  <si>
    <t>Doble mampostería de ladrillos comunes de 0,15 interior, con arriostramiento entre ambas, y una separación no mayor a 5 cm. entre las mismas.</t>
  </si>
  <si>
    <t>5.2</t>
  </si>
  <si>
    <t>SUBSUELO 1 - BLOQUES A, B, C, Y D</t>
  </si>
  <si>
    <t>5.2.1</t>
  </si>
  <si>
    <t>BLOQUE A</t>
  </si>
  <si>
    <t>5.2.1.1</t>
  </si>
  <si>
    <t>E.2</t>
  </si>
  <si>
    <t xml:space="preserve">Doble mampostería de ladrillos comunes de 0,15m dispuestas en planos verticales paralelos, separadas entre sí por un espacio aproximado de 0.05 m. arristradas una con otra mediante varillas de 4,2 mm. según se consigna en las especificaciones técnicas. </t>
  </si>
  <si>
    <t>5.2.1.2</t>
  </si>
  <si>
    <t>5.2.1.3</t>
  </si>
  <si>
    <t>5.2.1.4</t>
  </si>
  <si>
    <t>Mampostería de elevación con ladrillos comunes de 0,30m</t>
  </si>
  <si>
    <t>5.2.1.5</t>
  </si>
  <si>
    <t>E.5</t>
  </si>
  <si>
    <t>Dinteles de H°A°</t>
  </si>
  <si>
    <t>5.2.2</t>
  </si>
  <si>
    <t>BLOQUE B</t>
  </si>
  <si>
    <t>5.2.2.1</t>
  </si>
  <si>
    <t>5.2.2.2</t>
  </si>
  <si>
    <t>5.2.2.3</t>
  </si>
  <si>
    <t>5.2.2.4</t>
  </si>
  <si>
    <t>5.2.2.5</t>
  </si>
  <si>
    <t>5.2.3</t>
  </si>
  <si>
    <t>BLOQUE C</t>
  </si>
  <si>
    <t>5.2.3.1</t>
  </si>
  <si>
    <t>5.2.3.2</t>
  </si>
  <si>
    <t>5.2.3.3</t>
  </si>
  <si>
    <t>5.2.3.4</t>
  </si>
  <si>
    <t>5.2.4</t>
  </si>
  <si>
    <t>BLOQUE D - Estacionamiento</t>
  </si>
  <si>
    <t>5.2.4.1</t>
  </si>
  <si>
    <t>5.2.4.2</t>
  </si>
  <si>
    <t>5.3</t>
  </si>
  <si>
    <t>5.3.1</t>
  </si>
  <si>
    <t xml:space="preserve">PLANTA BAJA </t>
  </si>
  <si>
    <t>5.3.1.1</t>
  </si>
  <si>
    <t xml:space="preserve">Doble mampostería de 0,15m, una cara a la Vista hacia la fachada exterior con ladrillos laminados e interior con ladrillos comunes a ser revocado. Dispuestas en planos verticales paralelos, separadas entre sí por un hueco de 0.05 m. aproximadamente y arristradas una con otra mediante varillas de 4,2 mm. según se consigna en las especificaciones técnicas. </t>
  </si>
  <si>
    <t>5.3.1.2</t>
  </si>
  <si>
    <t>5.3.1.3</t>
  </si>
  <si>
    <t>5.3.1.4</t>
  </si>
  <si>
    <t>5.3.1.5</t>
  </si>
  <si>
    <t xml:space="preserve">Mampostería de elevación con ladrillos comunes armada de 0,30m. en la fachada del edificio y escaleras de incendio del edificio. </t>
  </si>
  <si>
    <t>5.3.1.6</t>
  </si>
  <si>
    <t>5.3.2</t>
  </si>
  <si>
    <t>PRIMER PISO</t>
  </si>
  <si>
    <t>5.3.2.1</t>
  </si>
  <si>
    <t>5.3.2.2</t>
  </si>
  <si>
    <t>5.3.2.3</t>
  </si>
  <si>
    <t>5.3.2.4</t>
  </si>
  <si>
    <t>5.3.2.5</t>
  </si>
  <si>
    <t>5.3.2.6</t>
  </si>
  <si>
    <t>5.3.3</t>
  </si>
  <si>
    <t>SEGUNDO PISO</t>
  </si>
  <si>
    <t>5.3.3.1</t>
  </si>
  <si>
    <t>5.3.3.2</t>
  </si>
  <si>
    <t>5.3.3.3</t>
  </si>
  <si>
    <t>5.3.3.4</t>
  </si>
  <si>
    <t>5.3.3.5</t>
  </si>
  <si>
    <t>5.3.4</t>
  </si>
  <si>
    <t>TERCER PISO</t>
  </si>
  <si>
    <t>5.3.4.1</t>
  </si>
  <si>
    <t>5.3.4.2</t>
  </si>
  <si>
    <t>5.3.4.3</t>
  </si>
  <si>
    <t>5.3.4.4</t>
  </si>
  <si>
    <t>5.3.4.5</t>
  </si>
  <si>
    <t>5.3.5</t>
  </si>
  <si>
    <t>CUARTO PISO</t>
  </si>
  <si>
    <t>5.3.5.1</t>
  </si>
  <si>
    <t>5.3.5.2</t>
  </si>
  <si>
    <t>5.3.5.3</t>
  </si>
  <si>
    <t>5.3.5.4</t>
  </si>
  <si>
    <t>5.3.5.5</t>
  </si>
  <si>
    <t>5.3.6</t>
  </si>
  <si>
    <t>QUINTO PISO</t>
  </si>
  <si>
    <t>5.3.6.1</t>
  </si>
  <si>
    <t>5.3.6.2</t>
  </si>
  <si>
    <t>5.3.6.3</t>
  </si>
  <si>
    <t>5.3.6.4</t>
  </si>
  <si>
    <t>5.3.7</t>
  </si>
  <si>
    <t>SEXTO PISO Y AZOTEAS</t>
  </si>
  <si>
    <t>5.3.7.1</t>
  </si>
  <si>
    <t>5.3.7.2</t>
  </si>
  <si>
    <t>5.3.7.3</t>
  </si>
  <si>
    <t>5.3.7.4</t>
  </si>
  <si>
    <t>Cornisa Tipo 1. Incluye la totalidad de rubros( Mamposteria, Revoque, pintura, etc.) incorporados en el DETALLES DE ARQUITECTURA.</t>
  </si>
  <si>
    <t>5.3.7.5</t>
  </si>
  <si>
    <t>Cornisa Tipo 2. Incluye la totalidad de rubros( Mamposteria, Revoque, pintura, etc.) incorporados en el DETALLES DE ARQUITECTURA.</t>
  </si>
  <si>
    <t>5.3.7.6</t>
  </si>
  <si>
    <t>Cornisa Tipo 3 en Techo Portico de acceso. Ver Detalle</t>
  </si>
  <si>
    <t>gl</t>
  </si>
  <si>
    <t>5.4</t>
  </si>
  <si>
    <t>5.4.1</t>
  </si>
  <si>
    <t>5.4.1.1</t>
  </si>
  <si>
    <t>5.4.1.2</t>
  </si>
  <si>
    <t>5.4.1.3</t>
  </si>
  <si>
    <t>5.4.1.4</t>
  </si>
  <si>
    <t>5.4.1.5</t>
  </si>
  <si>
    <t>5.4.2</t>
  </si>
  <si>
    <t>5.4.2.1</t>
  </si>
  <si>
    <t>5.4.2.2</t>
  </si>
  <si>
    <t>5.4.2.3</t>
  </si>
  <si>
    <t>5.4.2.4</t>
  </si>
  <si>
    <t>5.4.2.5</t>
  </si>
  <si>
    <t>5.4.3</t>
  </si>
  <si>
    <t>5.4.3.1</t>
  </si>
  <si>
    <t>5.4.3.2</t>
  </si>
  <si>
    <t>5.4.3.3</t>
  </si>
  <si>
    <t>5.4.3.4</t>
  </si>
  <si>
    <t>5.4.3.5</t>
  </si>
  <si>
    <t>5.4.4</t>
  </si>
  <si>
    <t>5.4.4.1</t>
  </si>
  <si>
    <t>5.4.4.2</t>
  </si>
  <si>
    <t>5.4.4.3</t>
  </si>
  <si>
    <t>5.4.4.4</t>
  </si>
  <si>
    <t>5.4.4.5</t>
  </si>
  <si>
    <t>5.4.5</t>
  </si>
  <si>
    <t>5.4.5.1</t>
  </si>
  <si>
    <t>5.4.5.2</t>
  </si>
  <si>
    <t>5.4.5.3</t>
  </si>
  <si>
    <t>5.4.5.4</t>
  </si>
  <si>
    <t>5.4.5.5</t>
  </si>
  <si>
    <t>5.4.6</t>
  </si>
  <si>
    <t>5.4.6.1</t>
  </si>
  <si>
    <t>5.4.6.2</t>
  </si>
  <si>
    <t>5.4.6.3</t>
  </si>
  <si>
    <t>5.4.6.4</t>
  </si>
  <si>
    <t>5.4.6.5</t>
  </si>
  <si>
    <t>5.4.7</t>
  </si>
  <si>
    <t>SEXTO PISO Y AZOTEA</t>
  </si>
  <si>
    <t>5.4.7.1</t>
  </si>
  <si>
    <t>5.4.7.2</t>
  </si>
  <si>
    <t>5.4.7.3</t>
  </si>
  <si>
    <t>5.4.7.4</t>
  </si>
  <si>
    <t>5.4.7.5</t>
  </si>
  <si>
    <t>5.5</t>
  </si>
  <si>
    <t>5.5.1</t>
  </si>
  <si>
    <t>5.5.1.1</t>
  </si>
  <si>
    <t>5.5.1.2</t>
  </si>
  <si>
    <t>5.5.1.3</t>
  </si>
  <si>
    <t>5.5.1.4</t>
  </si>
  <si>
    <t>5.5.1.5</t>
  </si>
  <si>
    <t>5.5.2</t>
  </si>
  <si>
    <t>5.5.2.1</t>
  </si>
  <si>
    <t>5.5.2.2</t>
  </si>
  <si>
    <t>5.5.2.3</t>
  </si>
  <si>
    <t>5.5.2.4</t>
  </si>
  <si>
    <t>5.5.2.5</t>
  </si>
  <si>
    <t>5.5.3</t>
  </si>
  <si>
    <t>5.5.3.1</t>
  </si>
  <si>
    <t>5.5.3.2</t>
  </si>
  <si>
    <t>5.5.3.3</t>
  </si>
  <si>
    <t>5.5.3.4</t>
  </si>
  <si>
    <t>5.5.3.5</t>
  </si>
  <si>
    <t>5.5.4</t>
  </si>
  <si>
    <t>5.5.4.1</t>
  </si>
  <si>
    <t>5.5.4.2</t>
  </si>
  <si>
    <t>5.5.4.3</t>
  </si>
  <si>
    <t>5.5.4.4</t>
  </si>
  <si>
    <t>5.5.4.5</t>
  </si>
  <si>
    <t>5.5.5</t>
  </si>
  <si>
    <t>CUARTO PISO Y AZOTEAS</t>
  </si>
  <si>
    <t>5.5.5.1</t>
  </si>
  <si>
    <t>5.5.5.2</t>
  </si>
  <si>
    <t>5.5.5.3</t>
  </si>
  <si>
    <t>5.5.5.4</t>
  </si>
  <si>
    <t>Cornisa Tipo 1. Incluye la totalidad de rubros( Mamposteria, Revoque, pintura, etc.) incorporados en el DETALLE SDE ARQUITECTURA.</t>
  </si>
  <si>
    <t>5.5.5.5</t>
  </si>
  <si>
    <t>Cornisa Tipo 2. Incluye la totalidad de rubros( Mamposteria, Revoque, pintura, etc.) incorporados en el DETALLE SDE ARQUITECTURA.</t>
  </si>
  <si>
    <t>5.6</t>
  </si>
  <si>
    <t>5.6.1</t>
  </si>
  <si>
    <t>SUBSUELO  1 Y 2</t>
  </si>
  <si>
    <t>5.6.1.1</t>
  </si>
  <si>
    <t>Mampostería de elevación doble, con ladrillos comunes de 0,15m de espesor cada uno, armadas y arriostradas entre si.</t>
  </si>
  <si>
    <t>5.6.1.2</t>
  </si>
  <si>
    <t>5.6.1.3</t>
  </si>
  <si>
    <t>Gradas de mampostería sobre gradas de H°A° en Salón Auditorio. Incluye revoque para base de Alfombra.</t>
  </si>
  <si>
    <t>5.6.1.4</t>
  </si>
  <si>
    <t>5.6.2</t>
  </si>
  <si>
    <t>PLANTA BAJA Y AZOTEAS</t>
  </si>
  <si>
    <t>5.6.2.1</t>
  </si>
  <si>
    <t>5.6.2.2</t>
  </si>
  <si>
    <t>5.6.2.3</t>
  </si>
  <si>
    <t>5.6.2.4</t>
  </si>
  <si>
    <t>5.6.2.5</t>
  </si>
  <si>
    <t>5.6.2.6</t>
  </si>
  <si>
    <t>Cornisa, terminaciones laterales y superior de la viga inventida de hormigon armado, incluye goteron inferior.</t>
  </si>
  <si>
    <t>5.7</t>
  </si>
  <si>
    <t>GUARDERÍA - AREA TECNICA Y SERVICIOS</t>
  </si>
  <si>
    <t>5.7.1</t>
  </si>
  <si>
    <t xml:space="preserve">GUADERÍA  </t>
  </si>
  <si>
    <t>5.7.1.1</t>
  </si>
  <si>
    <t>5.7.1.2</t>
  </si>
  <si>
    <t>5.7.1.3</t>
  </si>
  <si>
    <t>5.7.2</t>
  </si>
  <si>
    <t>SALA TECNICA Y SERVICIOS</t>
  </si>
  <si>
    <t>5.7.2.1</t>
  </si>
  <si>
    <t>5.7.2.2</t>
  </si>
  <si>
    <t>5.7.2.3</t>
  </si>
  <si>
    <t>5.7.2.4</t>
  </si>
  <si>
    <t>CASETA DE GUARDIA</t>
  </si>
  <si>
    <t>F</t>
  </si>
  <si>
    <t>CUBIERTAS</t>
  </si>
  <si>
    <t>6.1</t>
  </si>
  <si>
    <t>F.2</t>
  </si>
  <si>
    <t>Cubierta con Chapas galvanizadas trapezoidales prepintadas rellenas con poliuretano,inferior chapa lisa blanca y Estructura metálica en Bloque A. Incluye todos los elementos indicados en el Detalle, inclusive las Cenefas, Canaletas y pintura de las piezas.</t>
  </si>
  <si>
    <t>6.2</t>
  </si>
  <si>
    <t>Cubierta con Chapas galvanizadas trapezoidales prepintadas rellenas con poliuretano,inferior chapa lisa blanca y Estructura metálica en Bloque C. Incluye todos los elementos indicados en el Detalle, inclusive las Cenefas, Canaletas y pintura de las piezas.</t>
  </si>
  <si>
    <t>6.3</t>
  </si>
  <si>
    <t>Cubierta con Chapas galvanizadas trapezoidales prepintadas rellenas con poliuretano,inferior chapa lisa blanca  y Estructura metálica en Cafetería y Salón Auditorio. Incluye todos los elementos indicados en el Detalle, inclusive las Cenefas, Canaletas  y pintura de las piezas.</t>
  </si>
  <si>
    <t>6.4</t>
  </si>
  <si>
    <t>Cubierta con Chapas galvanizadas trapezoidales prepintadas rellenas con poliuretano,inferior chapa lisa blanca  y Estructura metálica en Guardería. Incluye todos los elementos indicados en el Detalle, inclusive las Cenefas, Canaletas  y pintura de las piezas.</t>
  </si>
  <si>
    <t>6.5</t>
  </si>
  <si>
    <t xml:space="preserve">Cubierta de Chapas galvanizadas  y Estructura Metálica en techo de Estacionamiento de Magistrados: Incluye en un todo, fundación, pilares, Revestimiento y/o Tratamiento de terminación de los mismos(pintura , tratamiento o protección para intemperie, etc.), Estructura Metálica, Chapas , sujeciones, etc. Canaletas, Cenefas, Pinturas u otros componentes de terminación. Ver detalles. </t>
  </si>
  <si>
    <t>6.6</t>
  </si>
  <si>
    <t xml:space="preserve">Cubierta de Chapas galvanizadas  y Estructura Metálica en techo de Patio Tecnico, área de los Chillers: Incluye en un todo, fundación, pilares, Revestimiento y/o Tratamiento de terminación de los mismos(pintura , tratamiento o protección para intemperie, etc.), Estructura Metálica, Chapas , sujeciones, etc. Canaletas, Cenefas, Pinturas u otros componentes de terminación. Ver detalles. </t>
  </si>
  <si>
    <t>6.7</t>
  </si>
  <si>
    <t xml:space="preserve">Cubierta de Chapas de Poligal con Estructura Estructura Metálica área de circulación entre Estacionamiento de Público y Bloque F: Incluir todo lo indicado en el Diseño. Ver detalles. </t>
  </si>
  <si>
    <t>6.8</t>
  </si>
  <si>
    <t>Lucernarios con Vidrio Armado en área de Losa de Techo de Estacionamiento: Incluye la estructura de Soporte, Vidrios y otros componentes indicados en el Detalle corresspondiente.</t>
  </si>
  <si>
    <t>7</t>
  </si>
  <si>
    <t>G</t>
  </si>
  <si>
    <t>AISLACIÓN</t>
  </si>
  <si>
    <t>7.1</t>
  </si>
  <si>
    <t>7.1.1</t>
  </si>
  <si>
    <t>G.7</t>
  </si>
  <si>
    <t>Aislación de piso de HºAº</t>
  </si>
  <si>
    <t>7.1.2</t>
  </si>
  <si>
    <t>G.2</t>
  </si>
  <si>
    <t>Aislación vertical de Pantalla de HºAº, incluye drenaje vertical.</t>
  </si>
  <si>
    <t>7.1.3</t>
  </si>
  <si>
    <t>G.8</t>
  </si>
  <si>
    <t xml:space="preserve">Aislación externa e interna de  los Reservorios de Agua, incluye la sanitación del interior. </t>
  </si>
  <si>
    <t>gl.</t>
  </si>
  <si>
    <t>7.1.4</t>
  </si>
  <si>
    <t>Aislación interno y externo de Sumidero Cloacal.</t>
  </si>
  <si>
    <t>7.1.5</t>
  </si>
  <si>
    <t>Aislación interno y externo de Sumidero de Drenaje y posibles pérdidas en cañerías.</t>
  </si>
  <si>
    <t>7.1.6</t>
  </si>
  <si>
    <t>G.5</t>
  </si>
  <si>
    <t>Aislación hidrófuga de piso de baños</t>
  </si>
  <si>
    <t>7.2</t>
  </si>
  <si>
    <t>7.2.1</t>
  </si>
  <si>
    <t>7.2.1.1</t>
  </si>
  <si>
    <t xml:space="preserve">Aislación horizontal de piso </t>
  </si>
  <si>
    <t>7.2.1.2</t>
  </si>
  <si>
    <t>Aislación hidrófuga de piso de baño</t>
  </si>
  <si>
    <t>7.2.1.3</t>
  </si>
  <si>
    <t>G.3a</t>
  </si>
  <si>
    <t>Aislación hidrófuga y termica con Poliuretano expandido y Pintura con impacril. vertical en mampostería de elevación doble perimetral</t>
  </si>
  <si>
    <t>7.2.1.4</t>
  </si>
  <si>
    <t>G.6</t>
  </si>
  <si>
    <t>Aislación horizontal de Losa Techo en áreas de cantero.</t>
  </si>
  <si>
    <t>7.2.1.5</t>
  </si>
  <si>
    <t>G.3b</t>
  </si>
  <si>
    <t>Aislación de buñas de piedra</t>
  </si>
  <si>
    <t>7.2.2</t>
  </si>
  <si>
    <t>7.2.2.1</t>
  </si>
  <si>
    <t>Aislación vertical de mampostería en área afectada por relleno de suelo.</t>
  </si>
  <si>
    <t>7.2.2.2</t>
  </si>
  <si>
    <t>Aislación hidrófuga de piso de baños y Kitchenette.</t>
  </si>
  <si>
    <t>7.2.2.3</t>
  </si>
  <si>
    <t>7.2.2.4</t>
  </si>
  <si>
    <t>7.2.3</t>
  </si>
  <si>
    <t>7.2.3.1</t>
  </si>
  <si>
    <t>7.2.3.2</t>
  </si>
  <si>
    <t>7.2.3.3</t>
  </si>
  <si>
    <t>7.2.3.4</t>
  </si>
  <si>
    <t>7.2.4</t>
  </si>
  <si>
    <t>7.2.4.1</t>
  </si>
  <si>
    <t>7.2.4.2</t>
  </si>
  <si>
    <t xml:space="preserve">Aislación hidrófuga en Techo de Estacionamiento: Incluye doble capa de membrana asfaltica,  Contrapiso con pendiente, protección mecánica con piso deGranito Reconstituido. </t>
  </si>
  <si>
    <t>7.2.4.3</t>
  </si>
  <si>
    <t>Aislación para asiento de revestimiento de piedra</t>
  </si>
  <si>
    <t>7.3</t>
  </si>
  <si>
    <t>7.3.1</t>
  </si>
  <si>
    <t>7.3.1.1</t>
  </si>
  <si>
    <t>7.3.1.2</t>
  </si>
  <si>
    <t>7.3.1.3</t>
  </si>
  <si>
    <t>Aislación hidrófuga de piso de baños.</t>
  </si>
  <si>
    <t>7.3.1.4</t>
  </si>
  <si>
    <t>Aislación horizontal y vertical en piso y pantalla de bajo recorrido de Caja de Ascensor.</t>
  </si>
  <si>
    <t>7.3.2</t>
  </si>
  <si>
    <t>7.3.2.1</t>
  </si>
  <si>
    <t>7.3.2.2</t>
  </si>
  <si>
    <t>7.3.2.3</t>
  </si>
  <si>
    <t>Aislación hidrófuga de piso de baño.</t>
  </si>
  <si>
    <t>7.3.3</t>
  </si>
  <si>
    <t>7.3.3.1</t>
  </si>
  <si>
    <t>7.3.3.2</t>
  </si>
  <si>
    <t>7.3.3.3</t>
  </si>
  <si>
    <t>7.3.4</t>
  </si>
  <si>
    <t>7.3.4.1</t>
  </si>
  <si>
    <t>7.3.4.2</t>
  </si>
  <si>
    <t>7.3.4.3</t>
  </si>
  <si>
    <t>7.3.5</t>
  </si>
  <si>
    <t>7.3.5.1</t>
  </si>
  <si>
    <t>7.3.5.2</t>
  </si>
  <si>
    <t>7.3.5.3</t>
  </si>
  <si>
    <t>7.3.6</t>
  </si>
  <si>
    <t>7.3.6.1</t>
  </si>
  <si>
    <t>7.3.6.2</t>
  </si>
  <si>
    <t>7.3.6.3</t>
  </si>
  <si>
    <t>7.3.7</t>
  </si>
  <si>
    <t>7.3.7.1</t>
  </si>
  <si>
    <t>7.3.7.2</t>
  </si>
  <si>
    <t xml:space="preserve">Aislación hidrófuga en azotea sobre el sexto piso: Incluye doble capa de membrana asfaltica,  Contrapiso con pendiente, protección mecánica con piso de H° llaneado mecanicamente con endurecedor quimico. </t>
  </si>
  <si>
    <t>7.3.7.3</t>
  </si>
  <si>
    <t xml:space="preserve">Aislación hidrófuga en azotea sobre acceso principal y Azotea Adyacente a Ascensor de Reos, sobre Techo subsuelo 1: Incluye doble capa de membrana asfaltica,  Contrapiso con pendiente, protección mecánica con piso de H° llaneado mecanicamente con endurecedor quimico. </t>
  </si>
  <si>
    <t>7.4</t>
  </si>
  <si>
    <t>7.4.1</t>
  </si>
  <si>
    <t>7.4.1.1</t>
  </si>
  <si>
    <t>7.4.1.2</t>
  </si>
  <si>
    <t>7.4.1.3</t>
  </si>
  <si>
    <t>7.4.2</t>
  </si>
  <si>
    <t>7.4.2.1</t>
  </si>
  <si>
    <t>7.4.2.2</t>
  </si>
  <si>
    <t>7.4.2.3</t>
  </si>
  <si>
    <t>7.4.3</t>
  </si>
  <si>
    <t>7.4.3.1</t>
  </si>
  <si>
    <t>7.4.3.2</t>
  </si>
  <si>
    <t>7.4.3.3</t>
  </si>
  <si>
    <t>7.4.4</t>
  </si>
  <si>
    <t>7.4.4.1</t>
  </si>
  <si>
    <t>7.4.4.2</t>
  </si>
  <si>
    <t>7.4.4.3</t>
  </si>
  <si>
    <t>7.4.5</t>
  </si>
  <si>
    <t>7.4.5.1</t>
  </si>
  <si>
    <t>7.4.5.2</t>
  </si>
  <si>
    <t>7.4.5.3</t>
  </si>
  <si>
    <t>7.4.6</t>
  </si>
  <si>
    <t>7.4.6.1</t>
  </si>
  <si>
    <t>7.4.6.2</t>
  </si>
  <si>
    <t>7.4.6.3</t>
  </si>
  <si>
    <t>7.4.7</t>
  </si>
  <si>
    <t>7.4.7.1</t>
  </si>
  <si>
    <t>7.4.7.2</t>
  </si>
  <si>
    <t>7.4.7.3</t>
  </si>
  <si>
    <t xml:space="preserve">Aislación hidrófuga en azotea sobre el sexto piso y sobre el acceso a Funcionarios, techo subsuelo 1: Incluye doble capa de membrana asfaltica,  Contrapiso con pendiente, protección mecánica con piso de H° llaneado mecanicamente con endurecedor quimico. </t>
  </si>
  <si>
    <t>7.4.7.4</t>
  </si>
  <si>
    <t>Aislación hidrófuga interior y Sanitación del reservorio de agua potable superior. 1</t>
  </si>
  <si>
    <t>7.4.7.5</t>
  </si>
  <si>
    <t>Aislación hidrófuga interior del reservorio de agua reciclable superior. 1</t>
  </si>
  <si>
    <t>7.4.7.6</t>
  </si>
  <si>
    <t>Aislación hidrófuga interior y Sanitación del reservorios de agua potable superior. 2</t>
  </si>
  <si>
    <t>7.4.7.7</t>
  </si>
  <si>
    <t>Aislación hidrófuga interior del reservorio de agua reciclable superior. 2</t>
  </si>
  <si>
    <t>7.5</t>
  </si>
  <si>
    <t>7.5.1</t>
  </si>
  <si>
    <t>7.5.1.1</t>
  </si>
  <si>
    <t>7.5.1.2</t>
  </si>
  <si>
    <t>7.5.2</t>
  </si>
  <si>
    <t>7.5.2.1</t>
  </si>
  <si>
    <t>7.5.2.2</t>
  </si>
  <si>
    <t>7.5.3</t>
  </si>
  <si>
    <t>7.5.3.1</t>
  </si>
  <si>
    <t>7.5.3.2</t>
  </si>
  <si>
    <t>7.5.4</t>
  </si>
  <si>
    <t>7.5.4.1</t>
  </si>
  <si>
    <t>Aislación hidrófuga en azotea sobre el cuarto Piso: Incluye doble capa de membrana asfaltica,  Contrapiso con pendiente, protección mecánica con piso de H° llaneado mecanicamente con endurecedor quimico. Incluye además la azotea sobre la Escalera de Emergencia y de Retén, techo Subsuelo 1</t>
  </si>
  <si>
    <t>7.6</t>
  </si>
  <si>
    <t>7.6.1</t>
  </si>
  <si>
    <t>SUBSUELO 1 Y 2</t>
  </si>
  <si>
    <t>7.6.1.1</t>
  </si>
  <si>
    <t>Aislación Sobre contrapiso de HºAº. La protección mecánica de la aislación, serán los respectivos contrapisos de hormigón de Cascotes y pisos que lo cubren. El H° de cascotes será ejecutado inmediatamente posterior a la Aislación</t>
  </si>
  <si>
    <t>7.6.1.2</t>
  </si>
  <si>
    <t>7.6.1.3</t>
  </si>
  <si>
    <t>7.6.1.4</t>
  </si>
  <si>
    <t>7.6.1.5</t>
  </si>
  <si>
    <t>7.6.1.6</t>
  </si>
  <si>
    <t>7.6.2</t>
  </si>
  <si>
    <t>7.6.2.1</t>
  </si>
  <si>
    <t>7.6.2.2</t>
  </si>
  <si>
    <t>7.6.2.3</t>
  </si>
  <si>
    <t xml:space="preserve">Aislación hidrófuga en áreas de pisos a la intemperie y pisos con techado sin cerramiento vertical: Incluye doble capa de membrana asfaltica,  Contrapiso con pendiente, protección mecánica con piso  </t>
  </si>
  <si>
    <t>7.6.2.4</t>
  </si>
  <si>
    <t xml:space="preserve">Aislación hidrófuga en azoteas a cota 102 y 103,5: Incluye doble capa de membrana asfaltica,  Contrapiso con pendiente, protección mecánica con piso de H°A°. </t>
  </si>
  <si>
    <t>7.7</t>
  </si>
  <si>
    <t>7.7.1</t>
  </si>
  <si>
    <t>7.7.1.1</t>
  </si>
  <si>
    <t>Aislación de toda el área sobre H°A° estructural en contacto con el suelo. Inmediatamente se ejecutan los contrapisos de H° de Cascotes para la proteccion mecánica.</t>
  </si>
  <si>
    <t>7.7.1.2</t>
  </si>
  <si>
    <t>7.7.1.3</t>
  </si>
  <si>
    <t>Aislación de piso en patio exterior</t>
  </si>
  <si>
    <t>7.7.1.4</t>
  </si>
  <si>
    <t>7.7.1.5</t>
  </si>
  <si>
    <t xml:space="preserve">Aislación hidrófuga en azotea: Incluye doble capa de membrana asfaltica,  Contrapiso con pendiente, protección mecánica con piso de H°A°. </t>
  </si>
  <si>
    <t>7.7.2</t>
  </si>
  <si>
    <t>AREA TECNICA Y SERVICIOS</t>
  </si>
  <si>
    <t>7.7.2.1</t>
  </si>
  <si>
    <t>Aislación de pisos interiores</t>
  </si>
  <si>
    <t>7.7.2.2</t>
  </si>
  <si>
    <t>7.7.2.3</t>
  </si>
  <si>
    <t>Aislación de piso en patio Chiller</t>
  </si>
  <si>
    <t>7.7.2.4</t>
  </si>
  <si>
    <t>7.7.2.5</t>
  </si>
  <si>
    <t>7.7.3</t>
  </si>
  <si>
    <t>7.7.3.1</t>
  </si>
  <si>
    <t>7.7.3.2</t>
  </si>
  <si>
    <t>7.7.3.3</t>
  </si>
  <si>
    <t>8</t>
  </si>
  <si>
    <t>H</t>
  </si>
  <si>
    <t>REVOQUE</t>
  </si>
  <si>
    <t>8.1</t>
  </si>
  <si>
    <t>8.1.1</t>
  </si>
  <si>
    <t>H.3</t>
  </si>
  <si>
    <t>Revoque interior de pantallas de hormigón a dos capas previa azotada con mezcla tipo M1.</t>
  </si>
  <si>
    <t>8.1.2</t>
  </si>
  <si>
    <t>Revoque de losas y vigas de hormigón a dos capas previa azotada con mezcla tipo M1.</t>
  </si>
  <si>
    <t>8.1.3</t>
  </si>
  <si>
    <t>Revoque de escalera de hormigón a dos capas previa azotada con mezcla tipo M1.</t>
  </si>
  <si>
    <t>8.1.4</t>
  </si>
  <si>
    <t>Revoque interior de pilares de hormigón a dos capas previa azotada con mezcla tipo M1.</t>
  </si>
  <si>
    <t>8.1.5</t>
  </si>
  <si>
    <t>H.1</t>
  </si>
  <si>
    <t>Revoque a dos capas de pared interior, fieltrado</t>
  </si>
  <si>
    <t>8.1.6</t>
  </si>
  <si>
    <t>H.4</t>
  </si>
  <si>
    <t xml:space="preserve">Revoque peinado de pared interior  </t>
  </si>
  <si>
    <t>8.2</t>
  </si>
  <si>
    <t>8.2.1</t>
  </si>
  <si>
    <t>8.2.1.1</t>
  </si>
  <si>
    <t>8.2.1.2</t>
  </si>
  <si>
    <t>H.2</t>
  </si>
  <si>
    <t>Revoque hidrófugo de pared exterior</t>
  </si>
  <si>
    <t>8.2.1.3</t>
  </si>
  <si>
    <t>8.2.1.4</t>
  </si>
  <si>
    <t>8.2.1.5</t>
  </si>
  <si>
    <t>8.2.1.6</t>
  </si>
  <si>
    <t>En aberturas vidriadas de fachada: Mochetas laterales y superior con huecos sellados aislados y revocados con mezcla 1:3, cara inferior con Alfeizar de H° ejecutados in-situ, prebia aislación hidráulica.</t>
  </si>
  <si>
    <t>8.2.2</t>
  </si>
  <si>
    <t>8.2.2.1</t>
  </si>
  <si>
    <t>8.2.2.2</t>
  </si>
  <si>
    <t>8.2.2.3</t>
  </si>
  <si>
    <t>8.2.2.4</t>
  </si>
  <si>
    <t>8.2.2.5</t>
  </si>
  <si>
    <t>8.2.2.6</t>
  </si>
  <si>
    <t>8.2.2.7</t>
  </si>
  <si>
    <t xml:space="preserve">Mochetas en aberturas de fachada: Cierre de hueco entre mampostería, Revoque de mochetas con mezcla 1:3 </t>
  </si>
  <si>
    <t>8.2.2.8</t>
  </si>
  <si>
    <t xml:space="preserve">Mochetas para Muro Cortina. Base de H° con tratamiento de H° Visto, Caras laterales y superior con mezcla 1:3 </t>
  </si>
  <si>
    <t>8.2.3</t>
  </si>
  <si>
    <t>8.2.3.1</t>
  </si>
  <si>
    <t>8.2.3.2</t>
  </si>
  <si>
    <t>8.2.3.3</t>
  </si>
  <si>
    <t>8.2.3.4</t>
  </si>
  <si>
    <t>8.2.3.5</t>
  </si>
  <si>
    <t>8.2.3.6</t>
  </si>
  <si>
    <t>8.2.4</t>
  </si>
  <si>
    <t>BLOQUE D - Estacionamiento Público</t>
  </si>
  <si>
    <t>8.2.4.1</t>
  </si>
  <si>
    <t>Revoque hidrófugo exterior en pantallas de Hº</t>
  </si>
  <si>
    <t>8.2.4.2</t>
  </si>
  <si>
    <t>Revoque hidrófugo interior en pantallas de Hº</t>
  </si>
  <si>
    <t>8.2.4.3</t>
  </si>
  <si>
    <t>8.2.4.4</t>
  </si>
  <si>
    <t>8.2.4.5</t>
  </si>
  <si>
    <t>8.2.4.6</t>
  </si>
  <si>
    <t>8.3</t>
  </si>
  <si>
    <t>8.3.1</t>
  </si>
  <si>
    <t>PLANTA BAJA</t>
  </si>
  <si>
    <t>8.3.1.1</t>
  </si>
  <si>
    <t>8.3.1.2</t>
  </si>
  <si>
    <t>8.3.1.3</t>
  </si>
  <si>
    <t>Revoque de losas, vigas y escalera de hormigón</t>
  </si>
  <si>
    <t>8.3.1.4</t>
  </si>
  <si>
    <t>8.3.1.5</t>
  </si>
  <si>
    <t>8.3.1.6</t>
  </si>
  <si>
    <t xml:space="preserve">Mochetas para Muro Cortina y base Portico en Acceso Principal. Tratamiento de H° Visto, Caras laterales y superior con mezcla 1:3 </t>
  </si>
  <si>
    <t>8.3.2</t>
  </si>
  <si>
    <t>8.3.2.1</t>
  </si>
  <si>
    <t>8.3.2.2</t>
  </si>
  <si>
    <t>8.3.2.3</t>
  </si>
  <si>
    <t>8.3.2.4</t>
  </si>
  <si>
    <t>8.3.2.5</t>
  </si>
  <si>
    <t>8.3.3</t>
  </si>
  <si>
    <t>8.3.3.1</t>
  </si>
  <si>
    <t>8.3.3.2</t>
  </si>
  <si>
    <t>8.3.3.3</t>
  </si>
  <si>
    <t>8.3.3.4</t>
  </si>
  <si>
    <t>8.3.3.5</t>
  </si>
  <si>
    <t>8.3.4</t>
  </si>
  <si>
    <t>8.3.4.1</t>
  </si>
  <si>
    <t>8.3.4.2</t>
  </si>
  <si>
    <t>8.3.4.3</t>
  </si>
  <si>
    <t>8.3.4.4</t>
  </si>
  <si>
    <t>8.3.4.5</t>
  </si>
  <si>
    <t>8.3.5</t>
  </si>
  <si>
    <t>8.3.5.1</t>
  </si>
  <si>
    <t>8.3.5.2</t>
  </si>
  <si>
    <t>8.3.5.3</t>
  </si>
  <si>
    <t>8.3.5.4</t>
  </si>
  <si>
    <t>8.3.5.5</t>
  </si>
  <si>
    <t>8.3.6</t>
  </si>
  <si>
    <t>8.3.6.1</t>
  </si>
  <si>
    <t>8.3.6.2</t>
  </si>
  <si>
    <t>8.3.6.3</t>
  </si>
  <si>
    <t>8.3.6.4</t>
  </si>
  <si>
    <t>8.3.6.5</t>
  </si>
  <si>
    <t>8.3.7</t>
  </si>
  <si>
    <t xml:space="preserve">SEXTO PISO Y AZOTEA </t>
  </si>
  <si>
    <t>8.3.7.1</t>
  </si>
  <si>
    <t>8.3.7.2</t>
  </si>
  <si>
    <t>8.4</t>
  </si>
  <si>
    <t>8.4.1</t>
  </si>
  <si>
    <t>8.4.1.1</t>
  </si>
  <si>
    <t>8.4.1.2</t>
  </si>
  <si>
    <t>8.4.1.3</t>
  </si>
  <si>
    <t>8.4.1.4</t>
  </si>
  <si>
    <t>8.4.1.5</t>
  </si>
  <si>
    <t>8.4.1.6</t>
  </si>
  <si>
    <t>Revoque de pilares de hormigón</t>
  </si>
  <si>
    <t>8.4.2</t>
  </si>
  <si>
    <t>8.4.2.1</t>
  </si>
  <si>
    <t>8.4.2.2</t>
  </si>
  <si>
    <t>8.4.2.3</t>
  </si>
  <si>
    <t>8.4.2.4</t>
  </si>
  <si>
    <t>8.4.2.5</t>
  </si>
  <si>
    <t>8.4.2.6</t>
  </si>
  <si>
    <t>8.4.3</t>
  </si>
  <si>
    <t>8.4.3.1</t>
  </si>
  <si>
    <t>8.4.3.2</t>
  </si>
  <si>
    <t>8.4.3.3</t>
  </si>
  <si>
    <t>8.4.3.4</t>
  </si>
  <si>
    <t>8.4.3.5</t>
  </si>
  <si>
    <t>8.4.3.6</t>
  </si>
  <si>
    <t>8.4.4</t>
  </si>
  <si>
    <t>8.4.4.1</t>
  </si>
  <si>
    <t>8.4.4.2</t>
  </si>
  <si>
    <t>8.4.4.3</t>
  </si>
  <si>
    <t>8.4.4.4</t>
  </si>
  <si>
    <t>8.4.4.5</t>
  </si>
  <si>
    <t>8.4.4.6</t>
  </si>
  <si>
    <t>8.4.5</t>
  </si>
  <si>
    <t>8.4.5.1</t>
  </si>
  <si>
    <t>8.4.5.2</t>
  </si>
  <si>
    <t>8.4.5.3</t>
  </si>
  <si>
    <t>8.4.5.4</t>
  </si>
  <si>
    <t>8.4.5.5</t>
  </si>
  <si>
    <t>8.4.5.6</t>
  </si>
  <si>
    <t>8.4.6</t>
  </si>
  <si>
    <t>8.4.6.1</t>
  </si>
  <si>
    <t>8.4.6.2</t>
  </si>
  <si>
    <t>8.4.6.3</t>
  </si>
  <si>
    <t>8.4.6.4</t>
  </si>
  <si>
    <t>8.4.6.5</t>
  </si>
  <si>
    <t>8.4.6.6</t>
  </si>
  <si>
    <t>8.4.7</t>
  </si>
  <si>
    <t>8.4.7.1</t>
  </si>
  <si>
    <t>8.4.7.2</t>
  </si>
  <si>
    <t>8.4.7.3</t>
  </si>
  <si>
    <t>Revoque de losas, vigas y escalera de Hº</t>
  </si>
  <si>
    <t>8.5</t>
  </si>
  <si>
    <t>8.5.1</t>
  </si>
  <si>
    <t>8.5.1.1</t>
  </si>
  <si>
    <t>8.5.1.2</t>
  </si>
  <si>
    <t>8.5.1.3</t>
  </si>
  <si>
    <t>8.5.1.4</t>
  </si>
  <si>
    <t>8.5.1.5</t>
  </si>
  <si>
    <t>8.5.2</t>
  </si>
  <si>
    <t>8.5.2.1</t>
  </si>
  <si>
    <t>8.5.2.2</t>
  </si>
  <si>
    <t>8.5.2.3</t>
  </si>
  <si>
    <t>8.5.2.4</t>
  </si>
  <si>
    <t>8.5.2.5</t>
  </si>
  <si>
    <t>8.5.3</t>
  </si>
  <si>
    <t>8.5.3.1</t>
  </si>
  <si>
    <t>8.5.3.2</t>
  </si>
  <si>
    <t>8.5.3.3</t>
  </si>
  <si>
    <t>8.5.3.4</t>
  </si>
  <si>
    <t>8.5.3.5</t>
  </si>
  <si>
    <t>8.5.4</t>
  </si>
  <si>
    <t>8.5.4.1</t>
  </si>
  <si>
    <t>8.5.4.2</t>
  </si>
  <si>
    <t>8.5.4.3</t>
  </si>
  <si>
    <t>8.5.4.4</t>
  </si>
  <si>
    <t>8.5.4.5</t>
  </si>
  <si>
    <t>8.5.5</t>
  </si>
  <si>
    <t>8.5.5.1</t>
  </si>
  <si>
    <t>8.5.5.2</t>
  </si>
  <si>
    <t>8.6</t>
  </si>
  <si>
    <t>8.6.1</t>
  </si>
  <si>
    <t>SUBSUELOS 1 Y 2</t>
  </si>
  <si>
    <t>8.6.1.1</t>
  </si>
  <si>
    <t>8.6.1.2</t>
  </si>
  <si>
    <t>Adosar Mampostería 0,15 con ladrillos comunes a Pantalla de H° previa a aplicación de Revestimiento Cerámico en baños.</t>
  </si>
  <si>
    <t>8.6.1.3</t>
  </si>
  <si>
    <t>8.6.1.4</t>
  </si>
  <si>
    <t>8.6.1.5</t>
  </si>
  <si>
    <t>8.6.1.6</t>
  </si>
  <si>
    <t>8.6.1.7</t>
  </si>
  <si>
    <t>8.6.2</t>
  </si>
  <si>
    <t>8.6.2.1</t>
  </si>
  <si>
    <t>8.6.2.2</t>
  </si>
  <si>
    <t>8.6.2.3</t>
  </si>
  <si>
    <t>8.6.2.4</t>
  </si>
  <si>
    <t>8.6.2.5</t>
  </si>
  <si>
    <t>8.7</t>
  </si>
  <si>
    <t>8.7.1</t>
  </si>
  <si>
    <t xml:space="preserve">GUARDERÍA  </t>
  </si>
  <si>
    <t>8.7.1.1</t>
  </si>
  <si>
    <t>8.7.1.2</t>
  </si>
  <si>
    <t>8.7.1.3</t>
  </si>
  <si>
    <t>8.7.1.4</t>
  </si>
  <si>
    <t>Revoque de losas y vigas de hormigón</t>
  </si>
  <si>
    <t>8.7.1.5</t>
  </si>
  <si>
    <t>8.7.2</t>
  </si>
  <si>
    <t>8.7.2.1</t>
  </si>
  <si>
    <t>8.7.2.2</t>
  </si>
  <si>
    <t>8.7.2.3</t>
  </si>
  <si>
    <t>8.7.2.4</t>
  </si>
  <si>
    <t>8.7.2.5</t>
  </si>
  <si>
    <t>Revoque de losas y  vigas de hormigón</t>
  </si>
  <si>
    <t>8.7.3</t>
  </si>
  <si>
    <t>8.7.3.1</t>
  </si>
  <si>
    <t>8.7.3.2</t>
  </si>
  <si>
    <t>8.7.3.3</t>
  </si>
  <si>
    <t>9</t>
  </si>
  <si>
    <t>I</t>
  </si>
  <si>
    <t>CONTRAPISO</t>
  </si>
  <si>
    <t>9.1</t>
  </si>
  <si>
    <t>9.1.1</t>
  </si>
  <si>
    <t>I.2</t>
  </si>
  <si>
    <t>Hormigón Armado sobre colchón de triturada.</t>
  </si>
  <si>
    <t>9.1.2</t>
  </si>
  <si>
    <t>I.3</t>
  </si>
  <si>
    <t xml:space="preserve">Hormigón de cascotes sobre piso de HºAº </t>
  </si>
  <si>
    <t>9.2</t>
  </si>
  <si>
    <t>9.2.1</t>
  </si>
  <si>
    <t>9.2.1.1</t>
  </si>
  <si>
    <t>Hormigón de cascotes sobre HºAº estructural, para  base de piso de granito, espesor 8 cm.</t>
  </si>
  <si>
    <t>9.2.1.2</t>
  </si>
  <si>
    <t>Hormigón de cascotes sobre losa HºAº estructural, para  base de piso de porcelanato, espesor 8 cm. incluída la carpeta y la aislación.</t>
  </si>
  <si>
    <t>9.2.2</t>
  </si>
  <si>
    <t>9.2.2.1</t>
  </si>
  <si>
    <t>Hormigón de cascotes sobre losa HºAº estructural, para  base de piso de granito, espesor 8 cm.</t>
  </si>
  <si>
    <t>9.2.2.2</t>
  </si>
  <si>
    <t>9.2.3</t>
  </si>
  <si>
    <t>9.2.3.1</t>
  </si>
  <si>
    <t>9.2.3.2</t>
  </si>
  <si>
    <t>9.2.4</t>
  </si>
  <si>
    <t>BLOQUE D - ESTACIONAMIENTO PUBLICO</t>
  </si>
  <si>
    <t>9.2.4.1</t>
  </si>
  <si>
    <t>9.2.4.2</t>
  </si>
  <si>
    <t xml:space="preserve">Hormigón de cascotes sobre piso de HºAº, espesor 12 cm. </t>
  </si>
  <si>
    <t>9.3</t>
  </si>
  <si>
    <t>9.3.1</t>
  </si>
  <si>
    <t>9.3.1.1</t>
  </si>
  <si>
    <t xml:space="preserve">Hormigón de cascotes sobre Losa de H°A° estructural. </t>
  </si>
  <si>
    <t>9.3.2</t>
  </si>
  <si>
    <t>9.3.2.1</t>
  </si>
  <si>
    <t>9.3.3</t>
  </si>
  <si>
    <t>9.3.3.1</t>
  </si>
  <si>
    <t>9.3.4</t>
  </si>
  <si>
    <t>9.3.4.1</t>
  </si>
  <si>
    <t>9.3.5</t>
  </si>
  <si>
    <t>9.3.5.1</t>
  </si>
  <si>
    <t>9.3.6</t>
  </si>
  <si>
    <t>9.3.6.1</t>
  </si>
  <si>
    <t>9.3.7</t>
  </si>
  <si>
    <t>9.3.7.1</t>
  </si>
  <si>
    <t>9.4</t>
  </si>
  <si>
    <t>9.4.1</t>
  </si>
  <si>
    <t>9.4.1.1</t>
  </si>
  <si>
    <t>9.4.2</t>
  </si>
  <si>
    <t>9.4.2.1</t>
  </si>
  <si>
    <t>9.4.3</t>
  </si>
  <si>
    <t>9.4.3.1</t>
  </si>
  <si>
    <t>9.4.4</t>
  </si>
  <si>
    <t>9.4.4.1</t>
  </si>
  <si>
    <t>9.4.5</t>
  </si>
  <si>
    <t>9.4.5.1</t>
  </si>
  <si>
    <t>9.4.6</t>
  </si>
  <si>
    <t>9.4.6.1</t>
  </si>
  <si>
    <t>9.4.7</t>
  </si>
  <si>
    <t>9.4.7.1</t>
  </si>
  <si>
    <t>9.5</t>
  </si>
  <si>
    <t>9.5.1</t>
  </si>
  <si>
    <t>9.5.1.1</t>
  </si>
  <si>
    <t>9.5.2</t>
  </si>
  <si>
    <t>9.5.2.1</t>
  </si>
  <si>
    <t>9.5.3</t>
  </si>
  <si>
    <t>9.5.3.1</t>
  </si>
  <si>
    <t>9.5.4</t>
  </si>
  <si>
    <t>9.5.4.1</t>
  </si>
  <si>
    <t>9.5.5</t>
  </si>
  <si>
    <t>9.5.5.1</t>
  </si>
  <si>
    <t>9.6</t>
  </si>
  <si>
    <t>9.6.1</t>
  </si>
  <si>
    <t>SUBSUELOS</t>
  </si>
  <si>
    <t>9.6.1.1</t>
  </si>
  <si>
    <t>9.6.1.2</t>
  </si>
  <si>
    <t>9.6.2.2</t>
  </si>
  <si>
    <t>9.7</t>
  </si>
  <si>
    <t>9.7.1</t>
  </si>
  <si>
    <t>9.7.1.2</t>
  </si>
  <si>
    <t xml:space="preserve">Hormigón de cascotes sobre la Aislación ejecutada sobre losa de H°A° estructural. </t>
  </si>
  <si>
    <t>9.7.2</t>
  </si>
  <si>
    <t>9.7.2.1</t>
  </si>
  <si>
    <t>9.7.2.2</t>
  </si>
  <si>
    <t>9.7.3</t>
  </si>
  <si>
    <t>9.7.3.1</t>
  </si>
  <si>
    <t>10</t>
  </si>
  <si>
    <t>J</t>
  </si>
  <si>
    <t>PISOS</t>
  </si>
  <si>
    <t>10.1</t>
  </si>
  <si>
    <t>10.1.1</t>
  </si>
  <si>
    <t>J.4</t>
  </si>
  <si>
    <t>Piso de hormigón armado tratado con ligaplast, allanado mecánico, endurecedor químico. Con cantonera metálica en desnivel</t>
  </si>
  <si>
    <t>10.1.2</t>
  </si>
  <si>
    <t>J.1</t>
  </si>
  <si>
    <t>Granito reconstituido 30x30cm, pulido. Incorpora umbrales</t>
  </si>
  <si>
    <t>10.1.3</t>
  </si>
  <si>
    <t>J.3</t>
  </si>
  <si>
    <t>Piso de Porcelanato asentado sobre carpeta 1:3</t>
  </si>
  <si>
    <t>10.1.4</t>
  </si>
  <si>
    <t xml:space="preserve">Planchas de granito reconstituido en escaleras </t>
  </si>
  <si>
    <t>10.2</t>
  </si>
  <si>
    <t>10.2.1</t>
  </si>
  <si>
    <t>10.2.1.1</t>
  </si>
  <si>
    <t>Piso de hormigón armado tratado con ligaplast, allanado mecánico, endurecedor químico. Con cantonera metalica en desnivel</t>
  </si>
  <si>
    <t>10.2.1.2</t>
  </si>
  <si>
    <t>10.2.1.3</t>
  </si>
  <si>
    <t>Porcelanato 60x60 sobre carpeta de cemento 1:3</t>
  </si>
  <si>
    <t>10.2.1.4</t>
  </si>
  <si>
    <t>10.2.2</t>
  </si>
  <si>
    <t>10.2.2.1</t>
  </si>
  <si>
    <t>10.2.2.2</t>
  </si>
  <si>
    <t>10.2.2.3</t>
  </si>
  <si>
    <t>10.2.3</t>
  </si>
  <si>
    <t>10.2.3.1</t>
  </si>
  <si>
    <t>10.2.3.2</t>
  </si>
  <si>
    <t>10.2.3.3</t>
  </si>
  <si>
    <t>10.2.3.4</t>
  </si>
  <si>
    <t>10.2.4</t>
  </si>
  <si>
    <t>10.2.4.1</t>
  </si>
  <si>
    <t>Piso de hormigón armado tratado con ligaplast, allanado mecánico y endurecedor químico ( Sin llaneado en áreas de pisos sobreelevados). Incorpora cordones de H°A° con terminación a la Vista para pisos de Granito y H° sobreelevados.</t>
  </si>
  <si>
    <t>10.2.4.2</t>
  </si>
  <si>
    <t xml:space="preserve">Piso de hormigón simple tratado con ligaplast, allanado mecánico y endurecedor químico en Sala de Bombas y Sumideros, sobre contrapiso calcáreo. </t>
  </si>
  <si>
    <t>10.2.4.3</t>
  </si>
  <si>
    <t>10.2.4.4</t>
  </si>
  <si>
    <t>Porcelanato 60x60 cm, con borde de Granito Natural, en Acceso a Salón Auditorio.</t>
  </si>
  <si>
    <t>10.2.4.5</t>
  </si>
  <si>
    <t>Granito reconstituido 40x40cm antideslizante acanalado.</t>
  </si>
  <si>
    <t>10.3</t>
  </si>
  <si>
    <t>10.3.1</t>
  </si>
  <si>
    <t>10.3.1.1</t>
  </si>
  <si>
    <t xml:space="preserve">Piso de hormigón simple tratado con ligaplast, allanado mecánico y endurecedor químico en Sanitario Reos, sobre contrapiso calcáreo. </t>
  </si>
  <si>
    <t>10.3.1.2</t>
  </si>
  <si>
    <t>10.3.1.3</t>
  </si>
  <si>
    <t>10.3.1.4</t>
  </si>
  <si>
    <t>10.3.2</t>
  </si>
  <si>
    <t>10.3.2.1</t>
  </si>
  <si>
    <t>10.3.2.2</t>
  </si>
  <si>
    <t>10.3.3</t>
  </si>
  <si>
    <t>10.3.3.1</t>
  </si>
  <si>
    <t>10.3.3.2</t>
  </si>
  <si>
    <t>10.3.3.3</t>
  </si>
  <si>
    <t>10.3.4</t>
  </si>
  <si>
    <t>10.3.4.1</t>
  </si>
  <si>
    <t>10.3.4.2</t>
  </si>
  <si>
    <t>10.3.4.3</t>
  </si>
  <si>
    <t>10.3.5</t>
  </si>
  <si>
    <t>10.3.5.1</t>
  </si>
  <si>
    <t>10.3.5.2</t>
  </si>
  <si>
    <t>10.3.5.3</t>
  </si>
  <si>
    <t>10.3.6</t>
  </si>
  <si>
    <t>10.3.6.1</t>
  </si>
  <si>
    <t>10.3.6.2</t>
  </si>
  <si>
    <t>10.3.7</t>
  </si>
  <si>
    <t>10.3.7.1</t>
  </si>
  <si>
    <t>Granito reconstituido 30x30cm, pulido. Incorpora los dos umbrales sobreelevados.</t>
  </si>
  <si>
    <t>10.3.7.2</t>
  </si>
  <si>
    <t xml:space="preserve">Piso de hormigón tratado con ligaplast, allanado mecánico, endurecedor químico y pintura epóxica en el Salón de la Azotea. </t>
  </si>
  <si>
    <t>10.3.7.3</t>
  </si>
  <si>
    <t xml:space="preserve">Piso de hormigón tratado con ligaplast, allanado mecánico, endurecedor químico y pintura epóxica como protección mecánica a la aislación de la azotea sobre el sexto piso y la Escalera de emergencia. </t>
  </si>
  <si>
    <t>10.3.7.4</t>
  </si>
  <si>
    <t xml:space="preserve">Piso de hormigón tratado con ligaplast, allanado mecánico, endurecedor químico y pintura epóxica, como protección mecánica de las azoteas del Acceso Principal( primer piso), y la azotea del subsuelo 1, adyacente a la escalera de emergencia. </t>
  </si>
  <si>
    <t>10.4</t>
  </si>
  <si>
    <t>10.4.1</t>
  </si>
  <si>
    <t>10.4.1.1</t>
  </si>
  <si>
    <t>10.4.1.2</t>
  </si>
  <si>
    <t>10.4.1.3</t>
  </si>
  <si>
    <t>10.4.2</t>
  </si>
  <si>
    <t>10.4.2.1</t>
  </si>
  <si>
    <t>10.4.2.2</t>
  </si>
  <si>
    <t>10.4.2.3</t>
  </si>
  <si>
    <t>10.4.3</t>
  </si>
  <si>
    <t>10.4.3.1</t>
  </si>
  <si>
    <t>10.4.3.2</t>
  </si>
  <si>
    <t>10.4.3.3</t>
  </si>
  <si>
    <t>10.4.4</t>
  </si>
  <si>
    <t>10.4.5</t>
  </si>
  <si>
    <t>10.4.5.1</t>
  </si>
  <si>
    <t>10.4.5.2</t>
  </si>
  <si>
    <t>10.4.5.3</t>
  </si>
  <si>
    <t>10.4.6</t>
  </si>
  <si>
    <t>10.4.6.1</t>
  </si>
  <si>
    <t>10.4.6.2</t>
  </si>
  <si>
    <t>10.4.6.3</t>
  </si>
  <si>
    <t>10.4.7</t>
  </si>
  <si>
    <t>10.4.7.1</t>
  </si>
  <si>
    <t>10.4.7.2</t>
  </si>
  <si>
    <t>10.4.7.3</t>
  </si>
  <si>
    <t xml:space="preserve">Piso de hormigón tratado con ligaplast, allanado mecánico, endurecedor químico y pintura epóxica, bajo tanques. </t>
  </si>
  <si>
    <t>10.4.7.4</t>
  </si>
  <si>
    <t>Piso de hormigón tratado con ligaplast, allanado mecánico, endurecedor químico y pintura epóxica, como protección mecánica de las azoteas del sexto Piso y el sobretecho en el área de acceso a funcionarios subsuelo 1</t>
  </si>
  <si>
    <t>10.5</t>
  </si>
  <si>
    <t>10.5.1</t>
  </si>
  <si>
    <t>10.5.1.1</t>
  </si>
  <si>
    <t>10.5.1.2</t>
  </si>
  <si>
    <t>10.5.2</t>
  </si>
  <si>
    <t>10.5.2.1</t>
  </si>
  <si>
    <t>10.5.2.2</t>
  </si>
  <si>
    <t>10.5.3</t>
  </si>
  <si>
    <t>10.5.3.1</t>
  </si>
  <si>
    <t>10.5.3.2</t>
  </si>
  <si>
    <t>10.5.4</t>
  </si>
  <si>
    <t>10.5.4.1</t>
  </si>
  <si>
    <t>10.5.5</t>
  </si>
  <si>
    <t>10.5.5.1</t>
  </si>
  <si>
    <t>10.5.5.2</t>
  </si>
  <si>
    <t xml:space="preserve">Piso de hormigón tratado con ligaplast, allanado mecánico, endurecedor químico y pintura epóxica. </t>
  </si>
  <si>
    <t>10.5.5.3</t>
  </si>
  <si>
    <t>Piso de hormigón tratado con ligaplast, allanado mecánico, endurecedor químico y pintura epóxica, como protección mecánica de las azoteas delcuarto  Piso, la Escalera de Emergencia y el sobretecho en el área de acceso al Retén en subsuelo 1</t>
  </si>
  <si>
    <t>10.6</t>
  </si>
  <si>
    <t>10.6.1</t>
  </si>
  <si>
    <t>SUBSUELOS 1 y 2</t>
  </si>
  <si>
    <t>10.6.1.1</t>
  </si>
  <si>
    <t>J.8</t>
  </si>
  <si>
    <t>De Alfombra en Salón Auditorio. Incluye zócalo en los perimetros.</t>
  </si>
  <si>
    <t>10.6.1.2</t>
  </si>
  <si>
    <t>Porcelanato 60x60 sobre carpeta de cemento 1:3. Incluye umbral de Granito Natural</t>
  </si>
  <si>
    <t>10.6.1.3</t>
  </si>
  <si>
    <t>Rampa de acceso  a impedido en Hall de Salón Auditorio</t>
  </si>
  <si>
    <t>10.6.1.4</t>
  </si>
  <si>
    <t>Piso de Parquet con tratamiento de lacrado y protección. Incluye Zócalo de la misma madera</t>
  </si>
  <si>
    <t>10.6.1.5</t>
  </si>
  <si>
    <t>Planchas de granito reconstituido en escalera a Cafetería.</t>
  </si>
  <si>
    <t>10.6.1.6</t>
  </si>
  <si>
    <t>Planchas de granito reconstituido en escalera a area Técnica</t>
  </si>
  <si>
    <t>10.6.1.7</t>
  </si>
  <si>
    <t>Gradas adyacentes a Escenario</t>
  </si>
  <si>
    <t>10.6.1.8</t>
  </si>
  <si>
    <t>10.6.2</t>
  </si>
  <si>
    <t>10.6.2.1</t>
  </si>
  <si>
    <t>10.6.2.2</t>
  </si>
  <si>
    <t>10.6.2.3</t>
  </si>
  <si>
    <t>Piso de hormigón tratado con ligaplast, allanado mecánico, endurecedor químico y pintura epóxica, como protección mecánica de las azoteas del Nivel 102 y 103.5</t>
  </si>
  <si>
    <t>10.7</t>
  </si>
  <si>
    <t>10.7.1</t>
  </si>
  <si>
    <t>GUARDERÍA</t>
  </si>
  <si>
    <t>10.7.1.1</t>
  </si>
  <si>
    <t>Piso Vinílico de 2mm. De alto transito. Incluye Zócalo perimetral.</t>
  </si>
  <si>
    <t>10.7.1.2</t>
  </si>
  <si>
    <t>10.7.2</t>
  </si>
  <si>
    <t>10.7.2.1</t>
  </si>
  <si>
    <t>10.7.2.2</t>
  </si>
  <si>
    <t>10.7.3</t>
  </si>
  <si>
    <t>10.7.3.1</t>
  </si>
  <si>
    <t>11</t>
  </si>
  <si>
    <t>K</t>
  </si>
  <si>
    <t>ZÓCALOS</t>
  </si>
  <si>
    <t>11.1</t>
  </si>
  <si>
    <t>11.1.1</t>
  </si>
  <si>
    <t>K.1</t>
  </si>
  <si>
    <t>Zócalo de granito reconstituido</t>
  </si>
  <si>
    <t>11.1.2</t>
  </si>
  <si>
    <t>Zócalo de granito reconstituido en escalera</t>
  </si>
  <si>
    <t>11.1.3</t>
  </si>
  <si>
    <t>K.5</t>
  </si>
  <si>
    <t>Zócalo de mortero de cemento 1:3 con hidrófugo y pintura texturada hidrófuga</t>
  </si>
  <si>
    <t>11.2</t>
  </si>
  <si>
    <t>11.2.1</t>
  </si>
  <si>
    <t>11.2.1.1</t>
  </si>
  <si>
    <t>11.2.1.2</t>
  </si>
  <si>
    <t>11.2.1.3</t>
  </si>
  <si>
    <t>Zócalo de mortero de cemento 1:3</t>
  </si>
  <si>
    <t>11.2.2</t>
  </si>
  <si>
    <t>11.2.2.1</t>
  </si>
  <si>
    <t>11.2.2.2</t>
  </si>
  <si>
    <t>11.2.3</t>
  </si>
  <si>
    <t>11.2.3.1</t>
  </si>
  <si>
    <t>11.2.3.2</t>
  </si>
  <si>
    <t>11.2.3.3</t>
  </si>
  <si>
    <t>11.2.4</t>
  </si>
  <si>
    <t>11.2.4.1</t>
  </si>
  <si>
    <t>11.2.4.2</t>
  </si>
  <si>
    <t>Zócalo de granito acanalado</t>
  </si>
  <si>
    <t>11.2.4.3</t>
  </si>
  <si>
    <t>11.3</t>
  </si>
  <si>
    <t>11.3.1</t>
  </si>
  <si>
    <t>11.3.1.1</t>
  </si>
  <si>
    <t>11.3.1.2</t>
  </si>
  <si>
    <t>11.3.1.3</t>
  </si>
  <si>
    <t>K.3</t>
  </si>
  <si>
    <t>Zócalo Madera de peterevy</t>
  </si>
  <si>
    <t>11.3.2</t>
  </si>
  <si>
    <t>11.3.2.1</t>
  </si>
  <si>
    <t>11.3.2.2</t>
  </si>
  <si>
    <t>11.3.3</t>
  </si>
  <si>
    <t>11.3.3.1</t>
  </si>
  <si>
    <t>11.3.3.2</t>
  </si>
  <si>
    <t>11.3.4</t>
  </si>
  <si>
    <t>11.3.4.1</t>
  </si>
  <si>
    <t>11.3.4.2</t>
  </si>
  <si>
    <t>11.3.5</t>
  </si>
  <si>
    <t>11.3.5.1</t>
  </si>
  <si>
    <t>11.3.5.2</t>
  </si>
  <si>
    <t>11.3.6</t>
  </si>
  <si>
    <t>11.3.6.1</t>
  </si>
  <si>
    <t>11.3.7</t>
  </si>
  <si>
    <t>11.3.7.1</t>
  </si>
  <si>
    <t>11.3.7.2</t>
  </si>
  <si>
    <t>11.4</t>
  </si>
  <si>
    <t>11.5</t>
  </si>
  <si>
    <t>11.5.1</t>
  </si>
  <si>
    <t>11.5.1.1</t>
  </si>
  <si>
    <t>11.5.1.2</t>
  </si>
  <si>
    <t>11.5.2</t>
  </si>
  <si>
    <t>11.5.2.1</t>
  </si>
  <si>
    <t>11.5.2.2</t>
  </si>
  <si>
    <t>11.5.3</t>
  </si>
  <si>
    <t>11.5.3.1</t>
  </si>
  <si>
    <t>11.5.3.2</t>
  </si>
  <si>
    <t>11.5.4</t>
  </si>
  <si>
    <t>11.5.4.1</t>
  </si>
  <si>
    <t>11.5.5</t>
  </si>
  <si>
    <t xml:space="preserve">CUARTO PISO Y AZOTEA </t>
  </si>
  <si>
    <t>11.5.5.1</t>
  </si>
  <si>
    <t>11.5.5.2</t>
  </si>
  <si>
    <t>11.6</t>
  </si>
  <si>
    <t>11.6.1</t>
  </si>
  <si>
    <t>SUBSUELO</t>
  </si>
  <si>
    <t>11.6.1.1</t>
  </si>
  <si>
    <t>11.6.1.2</t>
  </si>
  <si>
    <t>11.6.1.3</t>
  </si>
  <si>
    <t>11.6.1.4</t>
  </si>
  <si>
    <t>11.6.2</t>
  </si>
  <si>
    <t>11.6.2.1</t>
  </si>
  <si>
    <t>11.6.2.2</t>
  </si>
  <si>
    <t>11.7</t>
  </si>
  <si>
    <t>11.7.1</t>
  </si>
  <si>
    <t>11.7.1.1</t>
  </si>
  <si>
    <t>Zócalo Porcelanato idem piso</t>
  </si>
  <si>
    <t>11.7.2</t>
  </si>
  <si>
    <t>11.7.2.1</t>
  </si>
  <si>
    <t>11.7.3</t>
  </si>
  <si>
    <t>11.7.3.1</t>
  </si>
  <si>
    <t>12</t>
  </si>
  <si>
    <t>L</t>
  </si>
  <si>
    <t>REVESTIMIENTO</t>
  </si>
  <si>
    <t>12.1</t>
  </si>
  <si>
    <t>12.1.1</t>
  </si>
  <si>
    <t>L.1</t>
  </si>
  <si>
    <t xml:space="preserve">Revestimiento de porcelanato 30x60 en baños </t>
  </si>
  <si>
    <t>12.1.2</t>
  </si>
  <si>
    <t>L.5</t>
  </si>
  <si>
    <t>Estante de granito natural sobre mesada de baños</t>
  </si>
  <si>
    <t>12.1.3</t>
  </si>
  <si>
    <t>Zócalo de granito natural sobre mesada de baños y kitchenette</t>
  </si>
  <si>
    <t>12.1.4</t>
  </si>
  <si>
    <t>Pollera de granito natural bajo mesada de baños y kitchenette</t>
  </si>
  <si>
    <t>12.1.5</t>
  </si>
  <si>
    <t>Mesada de granito natural en baños y kitchenette</t>
  </si>
  <si>
    <t>12.1.6</t>
  </si>
  <si>
    <t>Divisoria de granito natural en baños con accesorios de sujeción cromados</t>
  </si>
  <si>
    <t>12.2</t>
  </si>
  <si>
    <t>SUBSUELO 1 - BLOQUES A, B Y C</t>
  </si>
  <si>
    <t>12.2.1</t>
  </si>
  <si>
    <t>12.2.1.1</t>
  </si>
  <si>
    <t>12.2.1.2</t>
  </si>
  <si>
    <t xml:space="preserve">R.8 </t>
  </si>
  <si>
    <t>Tratamiento tipo Hormigón Visto en Pilares Circulares.</t>
  </si>
  <si>
    <t>12.2.1.3</t>
  </si>
  <si>
    <t>L.4</t>
  </si>
  <si>
    <t xml:space="preserve">Revestido de pórtico de granito natural en marco de Ascensor de Reos y guarda en piso. Ver Detalle </t>
  </si>
  <si>
    <t>12.2.1.4</t>
  </si>
  <si>
    <t>L.3</t>
  </si>
  <si>
    <t>Buña de piedra a junta seca en fachada.</t>
  </si>
  <si>
    <t>12.2.2</t>
  </si>
  <si>
    <t>12.2.2.1</t>
  </si>
  <si>
    <t>12.2.2.2</t>
  </si>
  <si>
    <t>12.2.2.3</t>
  </si>
  <si>
    <t>12.2.2.4</t>
  </si>
  <si>
    <t>12.2.2.5</t>
  </si>
  <si>
    <t>Mesada de granito natural en baños,kitchenette de funcionarios y guardias, Sala de lactancia.</t>
  </si>
  <si>
    <t>12.2.2.6</t>
  </si>
  <si>
    <t>Divisoria de granito natural en baños, con accesorios de sujeción cromados</t>
  </si>
  <si>
    <t>12.2.2.7</t>
  </si>
  <si>
    <t>Revestido de 4 Pórticos de Ascensores, Público y de Funcionarios, con Granito Natural. Ver Detalles</t>
  </si>
  <si>
    <t>12.2.2.8</t>
  </si>
  <si>
    <t>12.2.2.9</t>
  </si>
  <si>
    <t>12.2.3</t>
  </si>
  <si>
    <t>12.2.3.1</t>
  </si>
  <si>
    <t>12.2.3.2</t>
  </si>
  <si>
    <t xml:space="preserve">Revestimiento de muros con piedras labradas y abuchonadas colocadas tipo rompecabezas a junta fina. </t>
  </si>
  <si>
    <t>12.3</t>
  </si>
  <si>
    <t>12.3.1</t>
  </si>
  <si>
    <t>12.3.1.1</t>
  </si>
  <si>
    <t>12.3.1.2</t>
  </si>
  <si>
    <t>Buñas con piedra a junta seca en fachada</t>
  </si>
  <si>
    <t>12.3.1.3</t>
  </si>
  <si>
    <t>12.3.2</t>
  </si>
  <si>
    <t>12.3.2.1</t>
  </si>
  <si>
    <t>12.3.2.2</t>
  </si>
  <si>
    <t>12.3.3</t>
  </si>
  <si>
    <t>12.3.3.1</t>
  </si>
  <si>
    <t>12.3.3.2</t>
  </si>
  <si>
    <t>12.3.4</t>
  </si>
  <si>
    <t>TERCER PISO,</t>
  </si>
  <si>
    <t>12.3.4.1</t>
  </si>
  <si>
    <t>12.3.4.2</t>
  </si>
  <si>
    <t>12.3.5</t>
  </si>
  <si>
    <t>12.3.5.1</t>
  </si>
  <si>
    <t>12.3.5.2</t>
  </si>
  <si>
    <t>12.3.6</t>
  </si>
  <si>
    <t>12.3.6.1</t>
  </si>
  <si>
    <t>12.3.6.2</t>
  </si>
  <si>
    <t>12.3.6.3</t>
  </si>
  <si>
    <t>12.3.6.4</t>
  </si>
  <si>
    <t>12.3.6.5</t>
  </si>
  <si>
    <t xml:space="preserve">Mesada de granito natural en baño </t>
  </si>
  <si>
    <t>12.3.6.6</t>
  </si>
  <si>
    <t>12.4</t>
  </si>
  <si>
    <t>12.4.1</t>
  </si>
  <si>
    <t>12.4.1.1</t>
  </si>
  <si>
    <t>12.4.1.2</t>
  </si>
  <si>
    <t>12.4.1.3</t>
  </si>
  <si>
    <t>12.4.1.4</t>
  </si>
  <si>
    <t>12.4.1.5</t>
  </si>
  <si>
    <t>12.4.1.6</t>
  </si>
  <si>
    <t>12.4.1.7</t>
  </si>
  <si>
    <t>12.4.1.8</t>
  </si>
  <si>
    <t>12.4.2</t>
  </si>
  <si>
    <t>12.4.2.1</t>
  </si>
  <si>
    <t>12.4.2.2</t>
  </si>
  <si>
    <t>12.4.2.3</t>
  </si>
  <si>
    <t>12.4.2.4</t>
  </si>
  <si>
    <t>12.4.2.5</t>
  </si>
  <si>
    <t>Mesada de granito natural en baños, sala de lactancia y kitchenette</t>
  </si>
  <si>
    <t>12.4.2.6</t>
  </si>
  <si>
    <t>12.4.2.7</t>
  </si>
  <si>
    <t>12.4.2.8</t>
  </si>
  <si>
    <t>12.4.3</t>
  </si>
  <si>
    <t>12.4.3.1</t>
  </si>
  <si>
    <t>12.4.3.2</t>
  </si>
  <si>
    <t>12.4.3.3</t>
  </si>
  <si>
    <t>12.4.3.4</t>
  </si>
  <si>
    <t>12.4.3.5</t>
  </si>
  <si>
    <t>12.4.3.6</t>
  </si>
  <si>
    <t>12.4.3.7</t>
  </si>
  <si>
    <t>12.4.3.8</t>
  </si>
  <si>
    <t>12.4.4</t>
  </si>
  <si>
    <t>12.4.4.1</t>
  </si>
  <si>
    <t>12.4.4.2</t>
  </si>
  <si>
    <t>12.4.4.3</t>
  </si>
  <si>
    <t>12.4.4.4</t>
  </si>
  <si>
    <t>12.4.4.5</t>
  </si>
  <si>
    <t>12.4.4.6</t>
  </si>
  <si>
    <t>12.4.4.7</t>
  </si>
  <si>
    <t>12.4.4.8</t>
  </si>
  <si>
    <t>12.4.5</t>
  </si>
  <si>
    <t>12.4.5.1</t>
  </si>
  <si>
    <t>12.4.5.2</t>
  </si>
  <si>
    <t>12.4.5.3</t>
  </si>
  <si>
    <t>12.4.5.4</t>
  </si>
  <si>
    <t>12.4.5.5</t>
  </si>
  <si>
    <t>12.4.5.6</t>
  </si>
  <si>
    <t>12.4.5.7</t>
  </si>
  <si>
    <t>12.4.5.8</t>
  </si>
  <si>
    <t>12.4.6</t>
  </si>
  <si>
    <t>12.4.6.1</t>
  </si>
  <si>
    <t>12.4.6.2</t>
  </si>
  <si>
    <t>12.4.6.3</t>
  </si>
  <si>
    <t>12.4.6.4</t>
  </si>
  <si>
    <t>12.4.6.5</t>
  </si>
  <si>
    <t>12.4.6.6</t>
  </si>
  <si>
    <t>12.4.6.7</t>
  </si>
  <si>
    <t>12.4.6.8</t>
  </si>
  <si>
    <t>12.4.7</t>
  </si>
  <si>
    <t>12.4.7.1</t>
  </si>
  <si>
    <t>12.4.7.2</t>
  </si>
  <si>
    <t>12.4.7.3</t>
  </si>
  <si>
    <t>12.4.7.4</t>
  </si>
  <si>
    <t>12.4.7.5</t>
  </si>
  <si>
    <t>12.4.7.6</t>
  </si>
  <si>
    <t>12.4.7.7</t>
  </si>
  <si>
    <t>Revestido de 2 Pórticos de Ascensores, área funcionarios, con Granito Natural. Ver Detalles</t>
  </si>
  <si>
    <t>12.4.7.8</t>
  </si>
  <si>
    <t>12.5</t>
  </si>
  <si>
    <t>12.5.1</t>
  </si>
  <si>
    <t>12.5.1.1</t>
  </si>
  <si>
    <t>12.5.2</t>
  </si>
  <si>
    <t>12.5.2.1</t>
  </si>
  <si>
    <t>12.5.3</t>
  </si>
  <si>
    <t>12.5.3.1</t>
  </si>
  <si>
    <t>12.5.4</t>
  </si>
  <si>
    <t>12.6</t>
  </si>
  <si>
    <t>12.6.1</t>
  </si>
  <si>
    <t>12.6.1.1</t>
  </si>
  <si>
    <t>12.6.1.2</t>
  </si>
  <si>
    <t>12.6.1.3</t>
  </si>
  <si>
    <t>12.6.1.4</t>
  </si>
  <si>
    <t>12.6.1.5</t>
  </si>
  <si>
    <t>12.6.1.6</t>
  </si>
  <si>
    <t>12.6.1.7</t>
  </si>
  <si>
    <t>Revestido de 1 Pórticos de Ascensor,  con Granito Natural. Ver Detalles</t>
  </si>
  <si>
    <t>12.6.1.8</t>
  </si>
  <si>
    <t>L.6</t>
  </si>
  <si>
    <t>Revestido con aluminio compuesto tipo "Wallcap" en Pilares</t>
  </si>
  <si>
    <t>12.6.1.9</t>
  </si>
  <si>
    <t>Mesada de granito natural en cocina</t>
  </si>
  <si>
    <t>12.6.1.10</t>
  </si>
  <si>
    <t>Zócalo de granito natural sobre mesada de cocina</t>
  </si>
  <si>
    <t>12.6.1.11</t>
  </si>
  <si>
    <t>Pollera de granito natural bajo mesada de cocina</t>
  </si>
  <si>
    <t>12.7</t>
  </si>
  <si>
    <t>12.7.1</t>
  </si>
  <si>
    <t xml:space="preserve">GUARDERIA  </t>
  </si>
  <si>
    <t>12.7.1.1</t>
  </si>
  <si>
    <t>12.7.1.2</t>
  </si>
  <si>
    <t xml:space="preserve">Zócalo de granito natural sobre mesada de baños </t>
  </si>
  <si>
    <t>12.7.1.3</t>
  </si>
  <si>
    <t xml:space="preserve">Pollera de granito natural bajo mesada de baños </t>
  </si>
  <si>
    <t>12.7.1.4</t>
  </si>
  <si>
    <t xml:space="preserve">Mesada de granito natural en baños </t>
  </si>
  <si>
    <t>12.7.1.5</t>
  </si>
  <si>
    <t>12.7.1.6</t>
  </si>
  <si>
    <t>12.7.1.7</t>
  </si>
  <si>
    <t>12.7.2</t>
  </si>
  <si>
    <t>12.7.2.1</t>
  </si>
  <si>
    <t>12.7.2.2</t>
  </si>
  <si>
    <t>12.7.2.3</t>
  </si>
  <si>
    <t>12.7.2.4</t>
  </si>
  <si>
    <t>12.7.2.5</t>
  </si>
  <si>
    <t>12.7.2.6</t>
  </si>
  <si>
    <t>13</t>
  </si>
  <si>
    <t>M</t>
  </si>
  <si>
    <t>CARPINTERIA DE MADERA</t>
  </si>
  <si>
    <t>13.1</t>
  </si>
  <si>
    <t xml:space="preserve">SUBSUELOS 2 </t>
  </si>
  <si>
    <t>13.1.1</t>
  </si>
  <si>
    <t xml:space="preserve">Puerta placa batiente Tipo M1. Incorpora todo lo detallado mas el lustre. </t>
  </si>
  <si>
    <t>13.1.2</t>
  </si>
  <si>
    <t xml:space="preserve">Puerta placa batiente Tipo M2. Incorpora todo lo detallado mas el lustre. </t>
  </si>
  <si>
    <t>13.1.3</t>
  </si>
  <si>
    <t>Puerta persiana batiente Tipo M4. Incorpora todo lo detallado mas el lustre.</t>
  </si>
  <si>
    <t>13.2</t>
  </si>
  <si>
    <t>SUBSUELOS 1 - GUARDERÍA - SERVICIOS Y PATIOS</t>
  </si>
  <si>
    <t>13.2.1</t>
  </si>
  <si>
    <t>13.2.2</t>
  </si>
  <si>
    <t>13.2.3</t>
  </si>
  <si>
    <t xml:space="preserve">Puerta placa batiente con Visor Tipo M2". Incorpora todo lo detallado mas el lustre. </t>
  </si>
  <si>
    <t>13.2.4</t>
  </si>
  <si>
    <t>Puerta placa batiente Tipo M3. Incorpora todo lo detallado mas el lustre</t>
  </si>
  <si>
    <t>13.2.5</t>
  </si>
  <si>
    <t>13.2.6</t>
  </si>
  <si>
    <t xml:space="preserve">Puerta placa vaivén Tipo M5. Incorpora todo lo detallado mas el lustre. </t>
  </si>
  <si>
    <t>13.2.7</t>
  </si>
  <si>
    <t xml:space="preserve">Puerta Tablero de 2 hojas batientes Tipo M6.  Incorpora todo lo detallado mas el lustre. </t>
  </si>
  <si>
    <t>13.3</t>
  </si>
  <si>
    <t>PLANTA BAJA - BLOQUES Y CAFETERÍA</t>
  </si>
  <si>
    <t>13.3.1</t>
  </si>
  <si>
    <t>13.3.2</t>
  </si>
  <si>
    <t>13.3.3</t>
  </si>
  <si>
    <t>13.3.4</t>
  </si>
  <si>
    <t>13.3.5</t>
  </si>
  <si>
    <t>13.3.6</t>
  </si>
  <si>
    <t>13.3.7</t>
  </si>
  <si>
    <t xml:space="preserve">Puerta Tablero de 2 hojas batientes Tipo M7.  Incorpora todo lo detallado mas el lustre. </t>
  </si>
  <si>
    <t>13.3.8</t>
  </si>
  <si>
    <t>Puerta placa de dos hojas vaiven Tipo M8. Incorpora todo lo detallado mas el lustre.</t>
  </si>
  <si>
    <t>13.4</t>
  </si>
  <si>
    <t>PRIMER PISO - BLOQUES Y CAFETERÍA</t>
  </si>
  <si>
    <t>13.4.1</t>
  </si>
  <si>
    <t>13.4.2</t>
  </si>
  <si>
    <t>13.4.3</t>
  </si>
  <si>
    <t>13.5</t>
  </si>
  <si>
    <t xml:space="preserve">SEGUNDO PISO - BLOQUES </t>
  </si>
  <si>
    <t>13.5.1</t>
  </si>
  <si>
    <t>13.5.2</t>
  </si>
  <si>
    <t>13.5.3</t>
  </si>
  <si>
    <t>13.5.4</t>
  </si>
  <si>
    <t>13.6</t>
  </si>
  <si>
    <t xml:space="preserve">TERCER PISO - BLOQUES </t>
  </si>
  <si>
    <t>13.6.1</t>
  </si>
  <si>
    <t>13.6.2</t>
  </si>
  <si>
    <t>13.6.3</t>
  </si>
  <si>
    <t>13.6.4</t>
  </si>
  <si>
    <t>13.7</t>
  </si>
  <si>
    <t xml:space="preserve">CUARTO PISO - BLOQUES </t>
  </si>
  <si>
    <t>13.7.1</t>
  </si>
  <si>
    <t>13.7.2</t>
  </si>
  <si>
    <t>13.7.3</t>
  </si>
  <si>
    <t>13.7.4</t>
  </si>
  <si>
    <t>13.8</t>
  </si>
  <si>
    <t xml:space="preserve">QUINTO PISO - BLOQUES </t>
  </si>
  <si>
    <t>13.8.1</t>
  </si>
  <si>
    <t>13.8.2</t>
  </si>
  <si>
    <t>13.8.3</t>
  </si>
  <si>
    <t>13.8.4</t>
  </si>
  <si>
    <t>13.9</t>
  </si>
  <si>
    <t xml:space="preserve">SEXTO PISO - BLOQUES </t>
  </si>
  <si>
    <t>13.9.1</t>
  </si>
  <si>
    <t>13.9.2</t>
  </si>
  <si>
    <t>13.9.3</t>
  </si>
  <si>
    <t>13.9.4</t>
  </si>
  <si>
    <t xml:space="preserve">Puerta vatiente con persiana inferior Tipo M9. Incorpora todo lo detallado mas el lustre. </t>
  </si>
  <si>
    <t>14</t>
  </si>
  <si>
    <t>N</t>
  </si>
  <si>
    <t>CARPINTERIA METÁLICA</t>
  </si>
  <si>
    <t>14.1</t>
  </si>
  <si>
    <t>14.1.1</t>
  </si>
  <si>
    <t>Puerta batiente de chapa Tipo CM1. Incluye todo lo detallado y pintura sintética de terminación.</t>
  </si>
  <si>
    <t>14.1.2</t>
  </si>
  <si>
    <t>Puerta con persiana inferior Tipo CM6. Incluye todo lo detallado y pintura sintética de terminación.</t>
  </si>
  <si>
    <t>14.1.3</t>
  </si>
  <si>
    <t>Puerta batiente de chapa Tipo CM7. Incluye todo lo detallado y pintura sintética de terminación.</t>
  </si>
  <si>
    <t>14.1.4</t>
  </si>
  <si>
    <t>Puerta de chapa batiente de dos hojas con persiana inferior  Tipo CM8. Incluye todo lo detallado y pintura sintética de terminación.</t>
  </si>
  <si>
    <t>14.1.5</t>
  </si>
  <si>
    <t>Puerta cortafuego con barra antipánico Tipo CM9. Incluye lo detallado y pintura sintética de terminación.</t>
  </si>
  <si>
    <t>14.1.6</t>
  </si>
  <si>
    <t xml:space="preserve">Ventana de chapa apersianada con tela metálica Tipo CM36. </t>
  </si>
  <si>
    <t>14.2</t>
  </si>
  <si>
    <t>14.2.1</t>
  </si>
  <si>
    <t>14.2.2</t>
  </si>
  <si>
    <t>Puerta de chapa batiente con Visor Tipo CM3. Incluye todo lo detallado y pintura sintética de terminación.</t>
  </si>
  <si>
    <t>14.2.3</t>
  </si>
  <si>
    <t>Puerta cortafuego con barra antipánico Tipo CM4. Incluye lo detallado y pintura sintética de terminación.</t>
  </si>
  <si>
    <t>14.2.4</t>
  </si>
  <si>
    <t>14.2.5</t>
  </si>
  <si>
    <t>Puerta de dos hojas con persiana inferior Tipo CM8. Incluye todo lo detallado y pintura sintética de terminación.</t>
  </si>
  <si>
    <t>14.2.6</t>
  </si>
  <si>
    <t>Reja con Metal Desplegado Tipo CM10, CM11; CM12; CM13. Incluyen todo lo detallado y pintura sintética de terminación.</t>
  </si>
  <si>
    <t>14.2.7</t>
  </si>
  <si>
    <t>Porton Corredizo de chapa Tipo CM 14 en acceso a Estacionamientos Funcionarios/Magistrados y Público. Incluye, además de lo detallado y la pintura sintética de terminación, Motor y sistema de automatización comandado desde la Sala de Control.</t>
  </si>
  <si>
    <t>14.2.8</t>
  </si>
  <si>
    <t xml:space="preserve">Rejas con Metal desplegado y Portón peatonal de acceso a Funcionarios y Magistrados Tipo CM15. Incluye, además de lo detallado, la pintura sintética de terminación. </t>
  </si>
  <si>
    <t>14.2.9</t>
  </si>
  <si>
    <t>Reja con Metal Desplegado Tipo CM 16, CM17; CM18; CM19; CM20; CM21. Incluyen todo lo detallado y pintura sintética de terminación en cada uno de ellos.</t>
  </si>
  <si>
    <t>14.2.10</t>
  </si>
  <si>
    <t xml:space="preserve">Rejas con Metal desplegado y Portón peatonal de acceso a Funcionarios y Magistrados Tipo CM22. Incluye, además de lo detallado, la pintura sintética de terminación. </t>
  </si>
  <si>
    <t>14.2.11</t>
  </si>
  <si>
    <t xml:space="preserve">Rejas con Metal desplegado y Portón peatonal de acceso a Planta de Tratamiento Tipo CM23. Incluye, además de lo detallado, la pintura sintética de terminación. </t>
  </si>
  <si>
    <t>14.2.12</t>
  </si>
  <si>
    <t>Porton Corredizo de chapa Tipo CM 24 en acceso a Estacionamiento Magistrados . Incluye, además de lo detallado y la pintura sintética de terminación, Motor y sistema de automatización comandado desde la Sala de Control.</t>
  </si>
  <si>
    <t>14.2.13</t>
  </si>
  <si>
    <t>Percianas Metálicas en cerca perimetral, patio Chiller TipoCM25. Incluye todo lo indicado en el Detalle, la pintura sintética de terminación.</t>
  </si>
  <si>
    <t>14.2.14</t>
  </si>
  <si>
    <t>Porton Basculante plegable, de chapa Tipo CM 28. Incluye, además de lo detallado y la pintura sintética de terminación, Motor y sistema de automatización comandado desde la Sala de Control.</t>
  </si>
  <si>
    <t>14.2.15</t>
  </si>
  <si>
    <t>Ventanas fijas de Percianas Metálicas en Gabinete de Climatización del Salón Auditorio, Tipo CM36. Incluye todo lo indicado en el Detalle, la pintura sintética de terminación.</t>
  </si>
  <si>
    <t>14.2.16</t>
  </si>
  <si>
    <t xml:space="preserve">Rejas con Metal desplegado y Portón en Depósito de Basuras Tipo CM38. Incluye, además de lo detallado, la pintura sintética de terminación. </t>
  </si>
  <si>
    <t>14.2.17</t>
  </si>
  <si>
    <t xml:space="preserve">Rejas con Metal desplegado  en Depósito de Basuras Tipo CM39. Incluye, además de lo detallado, la pintura sintética de terminación. </t>
  </si>
  <si>
    <t>14.2.18</t>
  </si>
  <si>
    <t xml:space="preserve">Rejas con Metal desplegado  en acceso peatonal a Funcionarios Tipo CM40. Incluye, además de lo detallado, la pintura sintética de terminación. </t>
  </si>
  <si>
    <t>14.2.19</t>
  </si>
  <si>
    <t xml:space="preserve">Rejas con Metal desplegado y Porton en acceso peatonal a Funcionarios Tipo CM41. Incluye, además de lo detallado, la pintura sintética de terminación. </t>
  </si>
  <si>
    <t>14.2.20</t>
  </si>
  <si>
    <t>Reja con Metal Desplegado Tipo CM 44 y CM45. Incluyen todo lo detallado y pintura sintética de terminación en cada uno de ellos.</t>
  </si>
  <si>
    <t>14.2.21</t>
  </si>
  <si>
    <t>Puerta con 2 hojas con persiana inferior Tipo CM46. Incluye todo lo detallado y pintura sintética de terminación.</t>
  </si>
  <si>
    <t>14.3</t>
  </si>
  <si>
    <t>14.3.1</t>
  </si>
  <si>
    <t>14.3.2</t>
  </si>
  <si>
    <t>Puerta batiente de chapa con Visor Tipo CM2. Incluye todo lo detallado y pintura sintética de terminación.</t>
  </si>
  <si>
    <t>14.3.3</t>
  </si>
  <si>
    <t>14.3.4</t>
  </si>
  <si>
    <t>14.3.5</t>
  </si>
  <si>
    <t>Porton Basculante plegable en Retén Adultos, de chapa Tipo CM 28. Incluye, además de lo detallado y la pintura sintética de terminación, Motor y sistema de automatización comandado desde la Sala de Control.</t>
  </si>
  <si>
    <t>14.3.6</t>
  </si>
  <si>
    <t xml:space="preserve">Rejas con Metal desplegado  en acceso público Noroeste Tipo CM29. Incluye, además de lo detallado, la pintura sintética de terminación. </t>
  </si>
  <si>
    <t>14.3.7</t>
  </si>
  <si>
    <t xml:space="preserve">Rejas con Metal desplegado y Portón de dos hojas batiente en acceso público Noroeste Tipo CM30. Incluye, además de lo detallado, la pintura sintética de terminación. </t>
  </si>
  <si>
    <t>14.3.8</t>
  </si>
  <si>
    <t xml:space="preserve">Rejas con Metal desplegado  en acceso público Noroeste Tipo CM31. Incluye, además de lo detallado, la pintura sintética de terminación. </t>
  </si>
  <si>
    <t>14.3.9</t>
  </si>
  <si>
    <t xml:space="preserve">Rejas con Metal desplegado  en acceso público Noroeste Tipo CM32. Incluye, además de lo detallado, la pintura sintética de terminación. </t>
  </si>
  <si>
    <t>14.3.10</t>
  </si>
  <si>
    <t xml:space="preserve">Rejas con Metal desplegado  en acceso público Noroeste Tipo CM34. Incluye, además de lo detallado, la pintura sintética de terminación. </t>
  </si>
  <si>
    <t>14.3.11</t>
  </si>
  <si>
    <t xml:space="preserve">Rejas con Metal desplegado  en acceso público Noroeste Tipo CM35. Incluye, además de lo detallado, la pintura sintética de terminación. </t>
  </si>
  <si>
    <t>14.3.12</t>
  </si>
  <si>
    <t>Puerta batiente ciega Tipo CM 47</t>
  </si>
  <si>
    <t>14.4</t>
  </si>
  <si>
    <t>14.4.1</t>
  </si>
  <si>
    <t>14.4.2</t>
  </si>
  <si>
    <t>14.5</t>
  </si>
  <si>
    <t xml:space="preserve">SEBUNDO PISO - BLOQUES </t>
  </si>
  <si>
    <t>14.5.1</t>
  </si>
  <si>
    <t>14.5.2</t>
  </si>
  <si>
    <t>14.5.3</t>
  </si>
  <si>
    <t>14.6</t>
  </si>
  <si>
    <t>14.6.1</t>
  </si>
  <si>
    <t>14.6.2</t>
  </si>
  <si>
    <t>14.6.3</t>
  </si>
  <si>
    <t>14.7</t>
  </si>
  <si>
    <t>14.7.1</t>
  </si>
  <si>
    <t>14.7.2</t>
  </si>
  <si>
    <t>14.7.3</t>
  </si>
  <si>
    <t>14.7.4</t>
  </si>
  <si>
    <t>14.8</t>
  </si>
  <si>
    <t>14.8.1</t>
  </si>
  <si>
    <t>14.8.2</t>
  </si>
  <si>
    <t>14.9</t>
  </si>
  <si>
    <t xml:space="preserve">SEXTO PISO  </t>
  </si>
  <si>
    <t>14.9.1</t>
  </si>
  <si>
    <t>Puerta Persiana bajo Tanque Tipo CM5</t>
  </si>
  <si>
    <t>14.9.2</t>
  </si>
  <si>
    <t>15</t>
  </si>
  <si>
    <t>O</t>
  </si>
  <si>
    <t>CARPINTERIA DE ALUMINIO</t>
  </si>
  <si>
    <t>15.1</t>
  </si>
  <si>
    <t>GENERAL</t>
  </si>
  <si>
    <t>15.1.1</t>
  </si>
  <si>
    <t>Portico de Acceso Principal en Planta baja: Estructura metálica, cordón de H°A° soporte de la Estructura metálica, Revestimiento con láminas de Wallcap según diseño, Juntas y Vedaciones internas y con su entorno. Incorpora el conjunto de rubros y los detalles indicados en el diseño de Arquitectura. Ver Detalle.</t>
  </si>
  <si>
    <t>15.1.2</t>
  </si>
  <si>
    <t>Baranda de Aluminio Vidriada y pasamanos de Aluminio en Escalera Pública: Incluye todos los elementos indicados en el Detalle del diseño inclusive los vidrios de la Baranda, igual en los pasamanos. De SS1 a 5to Piso. Ver detalles en planos.</t>
  </si>
  <si>
    <t>15.1.3</t>
  </si>
  <si>
    <t>Baranda de Aluminio Vidriada y pasamanos de Aluminio en Escalera Funcionarios: Incluye todos los elementos indicados en el Detalle del diseño inclusive los vidrios de la Baranda, igual en los pasamanos. De SS1 a 6to Piso. Ver detalles en planos.</t>
  </si>
  <si>
    <t>15.1.4</t>
  </si>
  <si>
    <t>Baranda de Aluminio Vidriada y pasamanos de Aluminio en Escalera Funcionarios: Incluye todos los elementos indicados en el Detalle del diseño inclusive los vidrios de la Baranda, igual en los pasamanos. De SS2 a SS1. Ver detalles en planos.</t>
  </si>
  <si>
    <t>15.2</t>
  </si>
  <si>
    <t>FACHADA</t>
  </si>
  <si>
    <t>15.2.1</t>
  </si>
  <si>
    <t>Parasol de Aluminio Brisé Oval con estructura de Aluminio de 100x50 mm. fijada a la estructura de H° mediante chapa doblada en U de espesor 3/16" soldadaa una chapa plana de 3/16" de fijación al H°. La estructura metálica descripta va revestida con el perfil de Aluminio señalado. Ver detalle Tipo 1 - Acceso Principal</t>
  </si>
  <si>
    <t>15.2.2</t>
  </si>
  <si>
    <t>Parasol de Aluminio Brisé Oval con estructura de Aluminio de 100x50 mm. fijada a la estructura de H° mediante chapa doblada en U de espesor 3/16" soldadaa una chapa plana de 3/16" de fijación al H°. La estructura metálica descripta va revestida con el perfil de Aluminio señalado. Incluye Marquesina, Ver detalle Tipo 2 - Bloque B.</t>
  </si>
  <si>
    <t>15.2.3</t>
  </si>
  <si>
    <t>Parasol de Aluminio Brisé Oval con estructura de Aluminio de 100x50 mm. fijada a la estructura de H° mediante chapa doblada en U de espesor 3/16" soldadaa una chapa plana de 3/16" de fijación al H°. La estructura metálica descripta va revestida con el perfil de Aluminio señalado. Ver detalle Tipo 3. Bloque E.</t>
  </si>
  <si>
    <t>15.2.4</t>
  </si>
  <si>
    <t>Parasol de Aluminio Brisé Oval con estructura de Aluminio de 100x50 mm. fijada a la estructura de H° mediante chapa doblada en U de espesor 3/16" soldadaa una chapa plana de 3/16" de fijación al H°. La estructura metálica descripta va revestida con el perfil de Aluminio señalado. Ver detalle Tipo 4. Bloque A</t>
  </si>
  <si>
    <t>15.2.5</t>
  </si>
  <si>
    <t>Parasol de Aluminio Brisé Oval con estructura de Aluminio de 100x50 mm. fijada a la estructura de H° mediante chapa doblada en U de espesor 3/16" soldadaa una chapa plana de 3/16" de fijación al H°. La estructura metálica descripta va revestida con el perfil de Aluminio señalado. Ver detalle Tipo 5. Bloque C</t>
  </si>
  <si>
    <t>16</t>
  </si>
  <si>
    <t>P</t>
  </si>
  <si>
    <t>MAMPARAS Y TABIQUES DE YESO Y CEMENTICIO</t>
  </si>
  <si>
    <t>16.1</t>
  </si>
  <si>
    <t>16.1.1</t>
  </si>
  <si>
    <t>P.1</t>
  </si>
  <si>
    <t>Mamparas de placas "Eucatex" Tipo M 2.</t>
  </si>
  <si>
    <t>16.1.2</t>
  </si>
  <si>
    <t>Mamparas de placas de melamina de 18mm y perfiles de aluminio anod.  Tipo M3. puerta</t>
  </si>
  <si>
    <t>unid.</t>
  </si>
  <si>
    <t>16.1.3</t>
  </si>
  <si>
    <t xml:space="preserve">Mamparas fijas de placas de melamina de 18mm y perfiles de aluminio anod.  Tipo M4. </t>
  </si>
  <si>
    <t>16.2</t>
  </si>
  <si>
    <t>16.2.1</t>
  </si>
  <si>
    <t>16.2.2</t>
  </si>
  <si>
    <t>16.2.3</t>
  </si>
  <si>
    <t>Mamparas de placas "Eucatex" Tipo M 7</t>
  </si>
  <si>
    <t>16.2.4</t>
  </si>
  <si>
    <t>Mamparas de placas "Eucatex"  Tipo M1. puerta</t>
  </si>
  <si>
    <t>16.2.5</t>
  </si>
  <si>
    <t>Mamparas de placas "Eucatex"  Tipo M2. puerta</t>
  </si>
  <si>
    <t>16.2.2.1</t>
  </si>
  <si>
    <t>16.2.2.2</t>
  </si>
  <si>
    <t>16.2.3.1</t>
  </si>
  <si>
    <t>Mamparas de placas "Eucatex" vidriada Tipo M1. Incluye el vidrio crudo de 6mm</t>
  </si>
  <si>
    <t>16.2.3.2</t>
  </si>
  <si>
    <t>16.2.3.3</t>
  </si>
  <si>
    <t>Mamparas de placas "Eucatex" Tipo M 7.</t>
  </si>
  <si>
    <t>16.2.3.4</t>
  </si>
  <si>
    <t>16.2.3.5</t>
  </si>
  <si>
    <t>16.2.4.1</t>
  </si>
  <si>
    <t>16.2.4.2</t>
  </si>
  <si>
    <t>16.3</t>
  </si>
  <si>
    <t>16.3.1</t>
  </si>
  <si>
    <t>16.3.1.1</t>
  </si>
  <si>
    <t xml:space="preserve">Mamparas de placas "Eucatex" Tipo M2. </t>
  </si>
  <si>
    <t>16.3.1.2</t>
  </si>
  <si>
    <t>16.3.1.3</t>
  </si>
  <si>
    <t>16.3.1.4</t>
  </si>
  <si>
    <t>P.2</t>
  </si>
  <si>
    <t>Cerramiento vertical con placas de yeso acartonadas</t>
  </si>
  <si>
    <t>16.3.2</t>
  </si>
  <si>
    <t>16.3.2.1</t>
  </si>
  <si>
    <t>16.3.2.2</t>
  </si>
  <si>
    <t>16.3.2.3</t>
  </si>
  <si>
    <t>16.3.2.4</t>
  </si>
  <si>
    <t>16.3.3</t>
  </si>
  <si>
    <t>16.3.3.1</t>
  </si>
  <si>
    <t xml:space="preserve">Mamparas de placas "Eucatex" vidriada Tipo M1 Incluye el vidrio crudo de 6mm. </t>
  </si>
  <si>
    <t>16.3.3.2</t>
  </si>
  <si>
    <t xml:space="preserve">Mamparas de placas "Eucatex" Tipo M 2. </t>
  </si>
  <si>
    <t>16.3.3.3</t>
  </si>
  <si>
    <t>16.3.3.4</t>
  </si>
  <si>
    <t>16.3.4</t>
  </si>
  <si>
    <t>16.3.4.1</t>
  </si>
  <si>
    <t>16.3.4.2</t>
  </si>
  <si>
    <t>16.3.4.3</t>
  </si>
  <si>
    <t>16.3.4.4</t>
  </si>
  <si>
    <t>16.3.5</t>
  </si>
  <si>
    <t>16.3.5.1</t>
  </si>
  <si>
    <t>16.3.5.2</t>
  </si>
  <si>
    <t>16.3.5.3</t>
  </si>
  <si>
    <t>16.3.5.4</t>
  </si>
  <si>
    <t>16.3.6</t>
  </si>
  <si>
    <t>16.3.6.1</t>
  </si>
  <si>
    <t>16.3.6.2</t>
  </si>
  <si>
    <t>16.3.6.3</t>
  </si>
  <si>
    <t>16.3.6.4</t>
  </si>
  <si>
    <t>16.3.6.5</t>
  </si>
  <si>
    <t>16.4</t>
  </si>
  <si>
    <t>16.4.1</t>
  </si>
  <si>
    <t>16.4.1.1</t>
  </si>
  <si>
    <t>16.4.1.2</t>
  </si>
  <si>
    <t>16.4.2</t>
  </si>
  <si>
    <t>16.4.2.1</t>
  </si>
  <si>
    <t>16.4.2.2</t>
  </si>
  <si>
    <t>16.4.3</t>
  </si>
  <si>
    <t>16.4.3.1</t>
  </si>
  <si>
    <t>16.4.4</t>
  </si>
  <si>
    <t>16.4.4.1</t>
  </si>
  <si>
    <t>16.4.4.2</t>
  </si>
  <si>
    <t>16.4.5</t>
  </si>
  <si>
    <t>16.4.5.1</t>
  </si>
  <si>
    <t>16.4.5.2</t>
  </si>
  <si>
    <t>16.4.6</t>
  </si>
  <si>
    <t>16.4.6.1</t>
  </si>
  <si>
    <t>16.4.6.2</t>
  </si>
  <si>
    <t>16.4.7</t>
  </si>
  <si>
    <t>16.4.7.1</t>
  </si>
  <si>
    <t>16.4.7.2</t>
  </si>
  <si>
    <t>Mamparas de placas "Eucatex"  Tipo M7.</t>
  </si>
  <si>
    <t>16.4.7.3</t>
  </si>
  <si>
    <t>16.5</t>
  </si>
  <si>
    <t>16.5.1</t>
  </si>
  <si>
    <t>16.5.1.1</t>
  </si>
  <si>
    <t xml:space="preserve">Mamparas de placas "Eucatex" vidriada Tipo M1. Incluye el vidrio crudo de 6mm. </t>
  </si>
  <si>
    <t>16.5.1.2</t>
  </si>
  <si>
    <t>16.5.1.3</t>
  </si>
  <si>
    <t>16.5.1.4</t>
  </si>
  <si>
    <t>16.5.1.5</t>
  </si>
  <si>
    <t>16.5.2</t>
  </si>
  <si>
    <t>16.5.2.1</t>
  </si>
  <si>
    <t>16.5.2.2</t>
  </si>
  <si>
    <t>16.5.2.3</t>
  </si>
  <si>
    <t>16.5.3</t>
  </si>
  <si>
    <t>16.5.3.1</t>
  </si>
  <si>
    <t>16.5.3.2</t>
  </si>
  <si>
    <t>16.5.3.3</t>
  </si>
  <si>
    <t>16.5.3.4</t>
  </si>
  <si>
    <t>16.5.4</t>
  </si>
  <si>
    <t>16.5.4.1</t>
  </si>
  <si>
    <t>16.5.4.2</t>
  </si>
  <si>
    <t>16.5.4.3</t>
  </si>
  <si>
    <t>16.5.5</t>
  </si>
  <si>
    <t>16.5.5.1</t>
  </si>
  <si>
    <t>16.6</t>
  </si>
  <si>
    <t>16.6.1</t>
  </si>
  <si>
    <t xml:space="preserve">SUBSUELO 1 </t>
  </si>
  <si>
    <t>16.6.1.1</t>
  </si>
  <si>
    <t>16.6.1.2</t>
  </si>
  <si>
    <t>16.6.2</t>
  </si>
  <si>
    <t>16.6.2.1</t>
  </si>
  <si>
    <t>16.6.2.2</t>
  </si>
  <si>
    <t>16.7</t>
  </si>
  <si>
    <t>16.7.1.1</t>
  </si>
  <si>
    <t xml:space="preserve">Mamparas de aluminio lambrís  Tipo M5. </t>
  </si>
  <si>
    <t>16.7.1.2</t>
  </si>
  <si>
    <t>Mamparas de aluminio lambrís  Tipo M6. puerta</t>
  </si>
  <si>
    <t>17</t>
  </si>
  <si>
    <t>Q</t>
  </si>
  <si>
    <t>CIELORRASO</t>
  </si>
  <si>
    <t>17.1</t>
  </si>
  <si>
    <t>SUBSUELO 2 - BLOQUE B y E</t>
  </si>
  <si>
    <t>17.1.1</t>
  </si>
  <si>
    <t>17.1.1.1</t>
  </si>
  <si>
    <t>Cielorraso de placas de yeso tipo "Durlock" desmontable, en paneles de 0,605x0,605m con perfilería de aluminio anodizado natural. Incluye buñas perimetrales.</t>
  </si>
  <si>
    <t>17.1.1.2</t>
  </si>
  <si>
    <t>Tratamiento de H° Visto.</t>
  </si>
  <si>
    <t>17.1.1.3</t>
  </si>
  <si>
    <t>Garganta perimetral a junta tomada</t>
  </si>
  <si>
    <t>17.1.2</t>
  </si>
  <si>
    <t>BLOQUE E</t>
  </si>
  <si>
    <t>17.1.2.1</t>
  </si>
  <si>
    <t>Cielorraso de placas de yeso tipo "Durlock" desmontable, en paneles de 0,605x0,605m con perfilería de aluminio anodizado natural</t>
  </si>
  <si>
    <t>17.1.2.2</t>
  </si>
  <si>
    <t xml:space="preserve">Cielorraso de placas de yeso tipo "Durlock" a junta tomada </t>
  </si>
  <si>
    <t>17.1.2.3</t>
  </si>
  <si>
    <t>R.8</t>
  </si>
  <si>
    <t>17.2</t>
  </si>
  <si>
    <t>SUBSUELO 1 - BLOQUES A, B, C, D, E y F</t>
  </si>
  <si>
    <t>17.2.1</t>
  </si>
  <si>
    <t>17.2.1.1</t>
  </si>
  <si>
    <t>17.2.1.2</t>
  </si>
  <si>
    <t>17.2.1.3</t>
  </si>
  <si>
    <t xml:space="preserve">Cielorraso de placas de yeso tipo "Durlock" antihumedad a junta tomada </t>
  </si>
  <si>
    <t>17.2.1.4</t>
  </si>
  <si>
    <t>Tratamientp de H° Visto.</t>
  </si>
  <si>
    <t>17.2.1.5</t>
  </si>
  <si>
    <t>17.2.2</t>
  </si>
  <si>
    <t>17.2.2.1</t>
  </si>
  <si>
    <t>17.2.2.2</t>
  </si>
  <si>
    <t>17.2.2.3</t>
  </si>
  <si>
    <t>17.2.2.4</t>
  </si>
  <si>
    <t>17.2.3</t>
  </si>
  <si>
    <t>17.2.3.1</t>
  </si>
  <si>
    <t>17.2.3.2</t>
  </si>
  <si>
    <t>17.2.3.3</t>
  </si>
  <si>
    <t>17.2.4</t>
  </si>
  <si>
    <t>17.2.4.1</t>
  </si>
  <si>
    <t>17.2.4.2</t>
  </si>
  <si>
    <t>17.2.4.3</t>
  </si>
  <si>
    <t>17.2.5</t>
  </si>
  <si>
    <t>17.2.1.5.1</t>
  </si>
  <si>
    <t>17.2.1.5.2</t>
  </si>
  <si>
    <t>17.2.1.5.3</t>
  </si>
  <si>
    <t>17.2.1.5.4</t>
  </si>
  <si>
    <t>17.2.6</t>
  </si>
  <si>
    <t>BLOQUE F</t>
  </si>
  <si>
    <t>17.2.6.1</t>
  </si>
  <si>
    <t>17.2.6.2</t>
  </si>
  <si>
    <t>17.2.6.3</t>
  </si>
  <si>
    <t>Cielorraso de placas de PVC</t>
  </si>
  <si>
    <t>17.2.6.4</t>
  </si>
  <si>
    <t>17.2.6.5</t>
  </si>
  <si>
    <t>17.2.6.6</t>
  </si>
  <si>
    <t>Bandejas de yeso acartonado suspendidas de 1,20x1,20mts</t>
  </si>
  <si>
    <t>17.2.6.7</t>
  </si>
  <si>
    <t>Bandejas de yeso acartonado suspendidas de diam. De  1,20mts</t>
  </si>
  <si>
    <t>17.3</t>
  </si>
  <si>
    <t>17.3.1</t>
  </si>
  <si>
    <t>17.3.1.1</t>
  </si>
  <si>
    <t>17.3.1.2</t>
  </si>
  <si>
    <t>17.3.1.3</t>
  </si>
  <si>
    <t>17.3.1.4</t>
  </si>
  <si>
    <t>17.3.2</t>
  </si>
  <si>
    <t>17.3.2.1</t>
  </si>
  <si>
    <t>17.3.2.2</t>
  </si>
  <si>
    <t>17.3.2.3</t>
  </si>
  <si>
    <t>17.3.2.4</t>
  </si>
  <si>
    <t>17.3.3</t>
  </si>
  <si>
    <t>17.3.3.1</t>
  </si>
  <si>
    <t>17.3.3.2</t>
  </si>
  <si>
    <t>17.3.4</t>
  </si>
  <si>
    <t>17.3.4.1</t>
  </si>
  <si>
    <t>17.3.4.2</t>
  </si>
  <si>
    <t>17.3.5</t>
  </si>
  <si>
    <t>17.3.5.1</t>
  </si>
  <si>
    <t>17.3.5.2</t>
  </si>
  <si>
    <t>17.3.6</t>
  </si>
  <si>
    <t>17.3.6.1</t>
  </si>
  <si>
    <t>17.3.6.2</t>
  </si>
  <si>
    <t>17.3.7</t>
  </si>
  <si>
    <t xml:space="preserve">SEXTO PISO / AZOTEA </t>
  </si>
  <si>
    <t>17.3.7.1</t>
  </si>
  <si>
    <t>17.4</t>
  </si>
  <si>
    <t>17.4.1</t>
  </si>
  <si>
    <t>17.4.1.1</t>
  </si>
  <si>
    <t>17.4.1.2</t>
  </si>
  <si>
    <t>17.4.1.3</t>
  </si>
  <si>
    <t>17.4.1.4</t>
  </si>
  <si>
    <t>17.4.2</t>
  </si>
  <si>
    <t>17.4.2.1</t>
  </si>
  <si>
    <t>17.4.2.2</t>
  </si>
  <si>
    <t>17.4.2.3</t>
  </si>
  <si>
    <t>17.4.2.4</t>
  </si>
  <si>
    <t>17.4.3</t>
  </si>
  <si>
    <t>17.4.3.1</t>
  </si>
  <si>
    <t>17.4.3.2</t>
  </si>
  <si>
    <t>17.4.3.3</t>
  </si>
  <si>
    <t>17.4.3.4</t>
  </si>
  <si>
    <t>17.4.4</t>
  </si>
  <si>
    <t>17.4.4.1</t>
  </si>
  <si>
    <t>17.4.4.2</t>
  </si>
  <si>
    <t>17.4.4.3</t>
  </si>
  <si>
    <t>17.4.4.4</t>
  </si>
  <si>
    <t>17.4.5</t>
  </si>
  <si>
    <t>17.4.5.1</t>
  </si>
  <si>
    <t>17.4.5.2</t>
  </si>
  <si>
    <t>17.4.5.3</t>
  </si>
  <si>
    <t>17.4.5.4</t>
  </si>
  <si>
    <t>17.4.6</t>
  </si>
  <si>
    <t>17.4.6.1</t>
  </si>
  <si>
    <t>17.4.6.2</t>
  </si>
  <si>
    <t>17.4.6.3</t>
  </si>
  <si>
    <t>17.4.6.6</t>
  </si>
  <si>
    <t>17.4.7</t>
  </si>
  <si>
    <t>17.4.7.1</t>
  </si>
  <si>
    <t>17.4.7.2</t>
  </si>
  <si>
    <t>17.4.7.3</t>
  </si>
  <si>
    <t>17.4.7.4</t>
  </si>
  <si>
    <t>17.4.7.5</t>
  </si>
  <si>
    <t>Buña perimetral de cielorraso en pilar circular</t>
  </si>
  <si>
    <t>17.5</t>
  </si>
  <si>
    <t>17.5.1</t>
  </si>
  <si>
    <t>17.5.1.1</t>
  </si>
  <si>
    <t>17.5.1.2</t>
  </si>
  <si>
    <t>17.5.1.3</t>
  </si>
  <si>
    <t>17.5.1.4</t>
  </si>
  <si>
    <t>17.5.1.5</t>
  </si>
  <si>
    <t>17.5.2</t>
  </si>
  <si>
    <t>17.5.2.1</t>
  </si>
  <si>
    <t>17.5.2.2</t>
  </si>
  <si>
    <t>17.5.2.3</t>
  </si>
  <si>
    <t>17.5.3</t>
  </si>
  <si>
    <t>17.5.3.1</t>
  </si>
  <si>
    <t>17.5.3.2</t>
  </si>
  <si>
    <t>17.5.4</t>
  </si>
  <si>
    <t>17.5.4.1</t>
  </si>
  <si>
    <t>17.5.4.2</t>
  </si>
  <si>
    <t>17.5.5</t>
  </si>
  <si>
    <t>17.5.5.1</t>
  </si>
  <si>
    <t>17.5.5.2</t>
  </si>
  <si>
    <t>17.5.5.3</t>
  </si>
  <si>
    <t>17.6</t>
  </si>
  <si>
    <t>17.6.1</t>
  </si>
  <si>
    <t>17.6.1.1</t>
  </si>
  <si>
    <t>17.6.1.2</t>
  </si>
  <si>
    <t>17.6.1.3</t>
  </si>
  <si>
    <t>17.6.1.4</t>
  </si>
  <si>
    <t>17.6.1.5</t>
  </si>
  <si>
    <t>17.6.1.6</t>
  </si>
  <si>
    <t>17.6.2</t>
  </si>
  <si>
    <t>17.6.2.1</t>
  </si>
  <si>
    <t>17.6.2.2</t>
  </si>
  <si>
    <t>17.6.2.3</t>
  </si>
  <si>
    <t>17.6.2.4</t>
  </si>
  <si>
    <t>18</t>
  </si>
  <si>
    <t>R</t>
  </si>
  <si>
    <t>PINTURA</t>
  </si>
  <si>
    <t>18.1</t>
  </si>
  <si>
    <t>18.1.1</t>
  </si>
  <si>
    <t>R.1</t>
  </si>
  <si>
    <t>Pintura acrílica con enduído en paredes(mamposterías y hormigón)  revocadas interiores.</t>
  </si>
  <si>
    <t>18.2</t>
  </si>
  <si>
    <t>18.2.1</t>
  </si>
  <si>
    <t>18.2.1.1</t>
  </si>
  <si>
    <t>Pintura acrílica con enduído en paredes(mampostería y hormigón)  revocadas interiores.</t>
  </si>
  <si>
    <t>18.2.1.2</t>
  </si>
  <si>
    <t>R.2</t>
  </si>
  <si>
    <t xml:space="preserve">Pintura acrílica texturada de paredes y pantallas revocadas exteriores </t>
  </si>
  <si>
    <t>18.2.1.3</t>
  </si>
  <si>
    <t>Pintura Sintética en Paredes de Celda y Baño Reos</t>
  </si>
  <si>
    <t>18.2.1.4</t>
  </si>
  <si>
    <t>Pintura acrílica con enduído de cielorraso de yeso a junta tomada</t>
  </si>
  <si>
    <t>18.2.1.5</t>
  </si>
  <si>
    <t>G3b-R.3</t>
  </si>
  <si>
    <t>Tratamiento hidrófugo de la base para la aplicación de buñas de piedra con "vedajá". Vedación de juntas de contacto entre buñas de piedra, mampostería vista o revoque en fachada, con "Plavicon". Tratamiento de protección de la piedra con "Secotech".</t>
  </si>
  <si>
    <t>18.2.1.6</t>
  </si>
  <si>
    <t xml:space="preserve">Tratamiento tipo Hormigón Visto sobre revoque de base en Mocheta y Alfeizar de Ventanas Vidriadas de Fachada.  </t>
  </si>
  <si>
    <t>18.2.2</t>
  </si>
  <si>
    <t>18.2.2.1</t>
  </si>
  <si>
    <t>18.2.2.2</t>
  </si>
  <si>
    <t>18.2.2.3</t>
  </si>
  <si>
    <t>18.2.2.4</t>
  </si>
  <si>
    <t>18.2.2.5</t>
  </si>
  <si>
    <t xml:space="preserve">Tratamiento tipo Hormigón Visto sobre revoque de base en Mocheta y base para Muro Cortina.  </t>
  </si>
  <si>
    <t>18.2.3</t>
  </si>
  <si>
    <t>18.2.3.1</t>
  </si>
  <si>
    <t>18.2.3.2</t>
  </si>
  <si>
    <t>18.2.3.3</t>
  </si>
  <si>
    <t>18.2.3.4</t>
  </si>
  <si>
    <t>18.2.3.5</t>
  </si>
  <si>
    <t>18.2.4</t>
  </si>
  <si>
    <t>ESTACIONAMIENTO PUBLICO</t>
  </si>
  <si>
    <t>18.2.4.1</t>
  </si>
  <si>
    <t>18.2.4.2</t>
  </si>
  <si>
    <t>18.2.4.3</t>
  </si>
  <si>
    <t>18.3</t>
  </si>
  <si>
    <t>18.3.1</t>
  </si>
  <si>
    <t>18.3.1.1</t>
  </si>
  <si>
    <t>18.3.1.2</t>
  </si>
  <si>
    <t>18.3.1.3</t>
  </si>
  <si>
    <t>18.3.1.4</t>
  </si>
  <si>
    <t>Pintura acrílica con enduído de cielorraso de yeso a junta tomada. Garganta de terminación lateral.</t>
  </si>
  <si>
    <t>18.3.1.5</t>
  </si>
  <si>
    <t>18.3.1.6</t>
  </si>
  <si>
    <t>R.3</t>
  </si>
  <si>
    <t>Tratamiento con hidrorepelente tipo "Secotech" en mampostería de ladrillo visto</t>
  </si>
  <si>
    <t>18.3.1.7</t>
  </si>
  <si>
    <t>Tratamiento tipo Hormigón Visto sobre revoque rebajado entorno a las Aberturas Vidriadas de Fachada. Incluye a las Mochetas y Alfeizares. Fachada Norte y Sur.</t>
  </si>
  <si>
    <t xml:space="preserve">gl </t>
  </si>
  <si>
    <t>18.3.1.8</t>
  </si>
  <si>
    <t>18.3.2</t>
  </si>
  <si>
    <t>18.3.2.1</t>
  </si>
  <si>
    <t>18.3.2.2</t>
  </si>
  <si>
    <t>18.3.2.3</t>
  </si>
  <si>
    <t>18.3.2.4</t>
  </si>
  <si>
    <t>18.3.2.5</t>
  </si>
  <si>
    <t>18.3.2.6</t>
  </si>
  <si>
    <t>18.3.2.7</t>
  </si>
  <si>
    <t>18.3.3</t>
  </si>
  <si>
    <t>18.3.3.1</t>
  </si>
  <si>
    <t>18.3.3.2</t>
  </si>
  <si>
    <t>18.3.3.3</t>
  </si>
  <si>
    <t>18.3.3.4</t>
  </si>
  <si>
    <t>18.3.3.5</t>
  </si>
  <si>
    <t>18.3.3.6</t>
  </si>
  <si>
    <t>18.3.3.7</t>
  </si>
  <si>
    <t>18.3.4</t>
  </si>
  <si>
    <t>18.3.4.1</t>
  </si>
  <si>
    <t>18.3.4.2</t>
  </si>
  <si>
    <t>18.3.4.3</t>
  </si>
  <si>
    <t>18.3.4.4</t>
  </si>
  <si>
    <t>18.3.4.5</t>
  </si>
  <si>
    <t>18.3.4.6</t>
  </si>
  <si>
    <t>18.3.4.7</t>
  </si>
  <si>
    <t>18.3.5</t>
  </si>
  <si>
    <t>18.3.5.1</t>
  </si>
  <si>
    <t>18.3.5.2</t>
  </si>
  <si>
    <t>18.3.5.3</t>
  </si>
  <si>
    <t>18.3.5.4</t>
  </si>
  <si>
    <t>18.3.5.5</t>
  </si>
  <si>
    <t>18.3.5.6</t>
  </si>
  <si>
    <t>18.3.5.7</t>
  </si>
  <si>
    <t>18.3.6</t>
  </si>
  <si>
    <t>18.3.6.1</t>
  </si>
  <si>
    <t>18.3.6.2</t>
  </si>
  <si>
    <t>18.3.6.3</t>
  </si>
  <si>
    <t>18.3.6.4</t>
  </si>
  <si>
    <t>18.3.6.5</t>
  </si>
  <si>
    <t>18.3.6.6</t>
  </si>
  <si>
    <t>18.3.7</t>
  </si>
  <si>
    <t>18.3.7.1</t>
  </si>
  <si>
    <t>18.3.7.2</t>
  </si>
  <si>
    <t>18.4</t>
  </si>
  <si>
    <t>18.4.1</t>
  </si>
  <si>
    <t>18.4.1.1</t>
  </si>
  <si>
    <t>18.4.1.2</t>
  </si>
  <si>
    <t>18.4.1.3</t>
  </si>
  <si>
    <t>18.4.1.4</t>
  </si>
  <si>
    <t>18.4.1.5</t>
  </si>
  <si>
    <t>18.4.2</t>
  </si>
  <si>
    <t>18.4.2.1</t>
  </si>
  <si>
    <t>18.4.2.2</t>
  </si>
  <si>
    <t>18.4.2.3</t>
  </si>
  <si>
    <t>18.4.2.4</t>
  </si>
  <si>
    <t>18.4.2.5</t>
  </si>
  <si>
    <t>18.4.3</t>
  </si>
  <si>
    <t>18.4.3.1</t>
  </si>
  <si>
    <t>18.4.3.2</t>
  </si>
  <si>
    <t>18.4.3.3</t>
  </si>
  <si>
    <t>18.4.3.4</t>
  </si>
  <si>
    <t>18.4.3.5</t>
  </si>
  <si>
    <t>18.4.4</t>
  </si>
  <si>
    <t>18.4.4.1</t>
  </si>
  <si>
    <t>18.4.4.2</t>
  </si>
  <si>
    <t>18.4.4.3</t>
  </si>
  <si>
    <t>18.4.4.4</t>
  </si>
  <si>
    <t>18.4.4.5</t>
  </si>
  <si>
    <t>18.4.5</t>
  </si>
  <si>
    <t>18.4.5.1</t>
  </si>
  <si>
    <t>18.4.5.2</t>
  </si>
  <si>
    <t>18.4.5.3</t>
  </si>
  <si>
    <t>18.4.5.4</t>
  </si>
  <si>
    <t>18.4.5.5</t>
  </si>
  <si>
    <t>18.4.6</t>
  </si>
  <si>
    <t>18.4.6.1</t>
  </si>
  <si>
    <t>18.4.6.2</t>
  </si>
  <si>
    <t>18.4.6.3</t>
  </si>
  <si>
    <t>18.4.6.4</t>
  </si>
  <si>
    <t>18.4.6.5</t>
  </si>
  <si>
    <t>18.4.7</t>
  </si>
  <si>
    <t>18.4.7.1</t>
  </si>
  <si>
    <t>18.4.7.2</t>
  </si>
  <si>
    <t>18.4.7.3</t>
  </si>
  <si>
    <t>18.4.7.4</t>
  </si>
  <si>
    <t>18.4.7.5</t>
  </si>
  <si>
    <t>18.5</t>
  </si>
  <si>
    <t>18.5.1</t>
  </si>
  <si>
    <t>18.5.1.1</t>
  </si>
  <si>
    <t>18.5.1.2</t>
  </si>
  <si>
    <t>18.5.1.3</t>
  </si>
  <si>
    <t>18.5.1.4</t>
  </si>
  <si>
    <t>18.5.1.5</t>
  </si>
  <si>
    <t>18.5.1.6</t>
  </si>
  <si>
    <t>18.5.1.7</t>
  </si>
  <si>
    <t>18.5.2</t>
  </si>
  <si>
    <t>18.5.2.1</t>
  </si>
  <si>
    <t>18.5.2.2</t>
  </si>
  <si>
    <t>18.5.2.3</t>
  </si>
  <si>
    <t>18.5.2.4</t>
  </si>
  <si>
    <t>18.5.2.5</t>
  </si>
  <si>
    <t>18.5.2.6</t>
  </si>
  <si>
    <t>18.5.3</t>
  </si>
  <si>
    <t>18.5.3.1</t>
  </si>
  <si>
    <t>18.5.3.2</t>
  </si>
  <si>
    <t>18.5.3.3</t>
  </si>
  <si>
    <t>18.5.3.4</t>
  </si>
  <si>
    <t>18.5.3.5</t>
  </si>
  <si>
    <t>18.5.3.6</t>
  </si>
  <si>
    <t>18.5.4</t>
  </si>
  <si>
    <t>18.5.4.1</t>
  </si>
  <si>
    <t>18.5.4.2</t>
  </si>
  <si>
    <t>18.5.4.3</t>
  </si>
  <si>
    <t>18.5.4.4</t>
  </si>
  <si>
    <t>18.5.4.5</t>
  </si>
  <si>
    <t>18.5.4.6</t>
  </si>
  <si>
    <t>18.5.5</t>
  </si>
  <si>
    <t>18.5.5.1</t>
  </si>
  <si>
    <t>18.5.5.2</t>
  </si>
  <si>
    <t>18.5.5.3</t>
  </si>
  <si>
    <t>18.6</t>
  </si>
  <si>
    <t>18.6.1</t>
  </si>
  <si>
    <t xml:space="preserve">SUBSUELOS 1 Y 2 </t>
  </si>
  <si>
    <t>18.6.1.1</t>
  </si>
  <si>
    <t>18.6.1.2</t>
  </si>
  <si>
    <t>18.6.1.3</t>
  </si>
  <si>
    <t>18.6.1.4</t>
  </si>
  <si>
    <t>18.6.1.5</t>
  </si>
  <si>
    <t>Pintura de losa de Techo Salón Auditorio</t>
  </si>
  <si>
    <t>18.6.1.6</t>
  </si>
  <si>
    <t>18.6.2</t>
  </si>
  <si>
    <t>18.6.2.1</t>
  </si>
  <si>
    <t>18.6.2.2</t>
  </si>
  <si>
    <t>18.6.2.3</t>
  </si>
  <si>
    <t>18.6.2.4</t>
  </si>
  <si>
    <t>18.6.2.5</t>
  </si>
  <si>
    <t>Tratamiento tipo Hormigón Visto sobre revoque en Losa en Galerías de Cafetería</t>
  </si>
  <si>
    <t>18.6.2.6</t>
  </si>
  <si>
    <t>Tratamiento de hormigón visto en Pilares de Hormigón</t>
  </si>
  <si>
    <t>18.6.2.7</t>
  </si>
  <si>
    <t>Tratamiento tipo Hormigón Visto sobre revoque en Losas y Vigas de  Techo de Caja de Escaleras y Ascensor</t>
  </si>
  <si>
    <t>18.7</t>
  </si>
  <si>
    <t>18.7.1</t>
  </si>
  <si>
    <t>18.7.1.1</t>
  </si>
  <si>
    <t>18.7.1.2</t>
  </si>
  <si>
    <t>18.7.1.3</t>
  </si>
  <si>
    <t>18.7.1.4</t>
  </si>
  <si>
    <t>18.7.2</t>
  </si>
  <si>
    <t>18.7.2.1</t>
  </si>
  <si>
    <t>18.7.2.2</t>
  </si>
  <si>
    <t>Pintura acrílica con enduído en pantallas de hormigón, pilares, escaleras, losas y vigas revocadas</t>
  </si>
  <si>
    <t>18.7.3</t>
  </si>
  <si>
    <t>18.7.3.1</t>
  </si>
  <si>
    <t>Pintura acrílica con enduído de paredes interiores</t>
  </si>
  <si>
    <t>18.7.3.2</t>
  </si>
  <si>
    <t>19</t>
  </si>
  <si>
    <t>S</t>
  </si>
  <si>
    <t>VIDRIOS Y CRISTALES</t>
  </si>
  <si>
    <t>19.1</t>
  </si>
  <si>
    <t>19.1.1</t>
  </si>
  <si>
    <t>Puerta batiente Tipo VT1</t>
  </si>
  <si>
    <t>19.1.2</t>
  </si>
  <si>
    <t>Paños fijos y Puerta de 1 hoja Tipo VT2</t>
  </si>
  <si>
    <t>19.1.3</t>
  </si>
  <si>
    <t>Paños fijos Tipo VT3</t>
  </si>
  <si>
    <t>19.1.4</t>
  </si>
  <si>
    <t>Paños fijos y Puerta de 1 hoja Tipo DVH24</t>
  </si>
  <si>
    <t>19.1.5</t>
  </si>
  <si>
    <t>Ventana de Proyección Tipo VC1</t>
  </si>
  <si>
    <t>19.2</t>
  </si>
  <si>
    <t>19.2.1</t>
  </si>
  <si>
    <t>Panel Vidriado con paños fijos Tipo DVH8</t>
  </si>
  <si>
    <t>19.2.2</t>
  </si>
  <si>
    <t>Panel Vidriado paños fijos y Puertas batientes Tipo DVH9</t>
  </si>
  <si>
    <t>19.2.3</t>
  </si>
  <si>
    <t>Puertas batientes de 2 hojas Tipo DVH10</t>
  </si>
  <si>
    <t>19.2.4</t>
  </si>
  <si>
    <t>Panel Vidriado paños fijos  Tipo DVH11</t>
  </si>
  <si>
    <t>19.2.5</t>
  </si>
  <si>
    <t>Panel Vidriado paños fijos Tipo DVH12</t>
  </si>
  <si>
    <t>19.2.6</t>
  </si>
  <si>
    <t>Panel Vidriado paños fijos y Puertas batientes 2 hojas Tipo DVH13</t>
  </si>
  <si>
    <t>19.2.7</t>
  </si>
  <si>
    <t>Panel Vidriado paños fijos Tipo DVH14</t>
  </si>
  <si>
    <t>19.2.8</t>
  </si>
  <si>
    <t>Panel Vidriado paños fijos Tipo DVH15</t>
  </si>
  <si>
    <t>19.2.9</t>
  </si>
  <si>
    <t>Panel Vidriado paños fijos Tipo DVH16</t>
  </si>
  <si>
    <t>19.2.10</t>
  </si>
  <si>
    <t>Panel Vidriado paños fijos y Puertas batientes 2 hojas Tipo DVH17</t>
  </si>
  <si>
    <t>19.2.11</t>
  </si>
  <si>
    <t>Panel Vidriado paños fijos Tipo DVH18</t>
  </si>
  <si>
    <t>19.2.12</t>
  </si>
  <si>
    <t>Panel Vidriado paños fijos Tipo DVH19</t>
  </si>
  <si>
    <t>19.2.13</t>
  </si>
  <si>
    <t>Panel Vidriado  paños fijos Tipo DVH20</t>
  </si>
  <si>
    <t>19.2.14</t>
  </si>
  <si>
    <t>Panel Vidriado paños fijos Tipo DVH21</t>
  </si>
  <si>
    <t>19.2.15</t>
  </si>
  <si>
    <t>Panel Vidriado paños fijos y Puertas batientes 2 hojas Tipo DVH22</t>
  </si>
  <si>
    <t>19.2.16</t>
  </si>
  <si>
    <t>Panel Vidriado paños fijos y paño proyectante Tipo DVH23</t>
  </si>
  <si>
    <t>19.2.17</t>
  </si>
  <si>
    <t>Panel Vidriado paños fijos y paño proyectante Tipo DVH24</t>
  </si>
  <si>
    <t>19.2.18</t>
  </si>
  <si>
    <t>Panel Vidriado paños fijos y paño proyectante Tipo DVH25</t>
  </si>
  <si>
    <t>19.2.19</t>
  </si>
  <si>
    <t>Panel Vidriado paños fijos Tipo DVH26</t>
  </si>
  <si>
    <t>19.2.20</t>
  </si>
  <si>
    <t>19.2.21</t>
  </si>
  <si>
    <t>Panel Vidriado paños fijos Tipo VT4</t>
  </si>
  <si>
    <t>19.2.22</t>
  </si>
  <si>
    <t>Panel Vidriado paño fijo y proyectante Tipo VT5</t>
  </si>
  <si>
    <t>19.2.23</t>
  </si>
  <si>
    <t>Panel Vidriado fijo DVH espejado Tipo VL4</t>
  </si>
  <si>
    <t>19.2.24</t>
  </si>
  <si>
    <t>Panel Vidriado paño fijo y paño proyectante Tipo DVH1</t>
  </si>
  <si>
    <t>19.2.25</t>
  </si>
  <si>
    <t>Panel Vidriado paños fijos y paños proyectantes Tipo DVH2</t>
  </si>
  <si>
    <t>19.2.26</t>
  </si>
  <si>
    <t>Panel Vidriado paños fijos  Tipo DVH3</t>
  </si>
  <si>
    <t>19.2.27</t>
  </si>
  <si>
    <t>Panel Vidriado paños fijos Tipo DVH7</t>
  </si>
  <si>
    <t>19.2.28</t>
  </si>
  <si>
    <t>Ventana Vidriada de Proyección Tipo VC1</t>
  </si>
  <si>
    <t>19.2.29</t>
  </si>
  <si>
    <t>Ventana fijaTipo VC2</t>
  </si>
  <si>
    <t>19.3</t>
  </si>
  <si>
    <t>19.3.1</t>
  </si>
  <si>
    <t>Panel Vidriado paños fijos Tipo DVH27</t>
  </si>
  <si>
    <t>19.3.2</t>
  </si>
  <si>
    <t>Panel Vidriado paños fijos Tipo DVH28</t>
  </si>
  <si>
    <t>19.3.3</t>
  </si>
  <si>
    <t>Panel Vidriado  paños fijos Tipo DVH29</t>
  </si>
  <si>
    <t>19.3.4</t>
  </si>
  <si>
    <t>Panel Vidriado paños fijos  Tipo DVH30</t>
  </si>
  <si>
    <t>19.3.5</t>
  </si>
  <si>
    <t>Panel Vidriado paños fijos y Puertas batientes 2 hojas Tipo DVH31</t>
  </si>
  <si>
    <t>19.3.6</t>
  </si>
  <si>
    <t>Panel Vidriado paños fijos Tipo DVH32</t>
  </si>
  <si>
    <t>19.3.7</t>
  </si>
  <si>
    <t>Panel Vidriado paños fijos y Puertas batientes 2 hojas Tipo DVH33</t>
  </si>
  <si>
    <t>19.3.8</t>
  </si>
  <si>
    <t>Panel Vidriado paños fijos Tipo DVH34</t>
  </si>
  <si>
    <t>19.3.9</t>
  </si>
  <si>
    <t>Panel Vidriado paños fijos Tipo DVH35</t>
  </si>
  <si>
    <t>19.3.10</t>
  </si>
  <si>
    <t>Panel Vidriado paños fijos Tipo DVH36</t>
  </si>
  <si>
    <t>19.3.11</t>
  </si>
  <si>
    <t>Panel Vidriado paños fijos y paño proyectante Tipo DVH37</t>
  </si>
  <si>
    <t>19.3.12</t>
  </si>
  <si>
    <t>19.3.13</t>
  </si>
  <si>
    <t>Panel Vidriado paños fijos y Puertas batientes 2 hojas Tipo DVH38</t>
  </si>
  <si>
    <t>19.3.14</t>
  </si>
  <si>
    <t>Panel con Vidrio Laminado de 20mm. Tipo VL1</t>
  </si>
  <si>
    <t>19.3.15</t>
  </si>
  <si>
    <t>Panel con Vidrio Laminado de 20mm. Tipo VL2</t>
  </si>
  <si>
    <t>19.3.16</t>
  </si>
  <si>
    <t>Panel con Vidrio Laminado de 20mm. Tipo VL3</t>
  </si>
  <si>
    <t>19.3.17</t>
  </si>
  <si>
    <t>Panel Vidriado fijo DVH espejado Tipo VL5</t>
  </si>
  <si>
    <t>19.3.18</t>
  </si>
  <si>
    <t>19.3.19</t>
  </si>
  <si>
    <t>19.3.20</t>
  </si>
  <si>
    <t>Panel Vidriado paños fijos Tipo DVH3</t>
  </si>
  <si>
    <t>19.3.21</t>
  </si>
  <si>
    <t>Panel Vidriado paños fijos Tipo DVH5</t>
  </si>
  <si>
    <t>19.3.22</t>
  </si>
  <si>
    <t>Panel Vidriado paños fijos Tipo DVH6</t>
  </si>
  <si>
    <t>19.3.23</t>
  </si>
  <si>
    <t>19.3.24</t>
  </si>
  <si>
    <t>19.4</t>
  </si>
  <si>
    <t>19.4.1</t>
  </si>
  <si>
    <t>19.4.2</t>
  </si>
  <si>
    <t>19.4.3</t>
  </si>
  <si>
    <t>19.4.4</t>
  </si>
  <si>
    <t>19.4.5</t>
  </si>
  <si>
    <t>Panel Vidriado paños fijos Tipo DVH39</t>
  </si>
  <si>
    <t>19.4.6</t>
  </si>
  <si>
    <t>19.4.7</t>
  </si>
  <si>
    <t>19.4.8</t>
  </si>
  <si>
    <t>19.4.9</t>
  </si>
  <si>
    <t>19.5</t>
  </si>
  <si>
    <t>19.5.1</t>
  </si>
  <si>
    <t>19.5.2</t>
  </si>
  <si>
    <t>19.5.3</t>
  </si>
  <si>
    <t>19.5.4</t>
  </si>
  <si>
    <t>19.5.5</t>
  </si>
  <si>
    <t>19.5.6</t>
  </si>
  <si>
    <t>19.5.7</t>
  </si>
  <si>
    <t>Panel Vidriado paños fijos yTipo DVH3</t>
  </si>
  <si>
    <t>19.5.8</t>
  </si>
  <si>
    <t>19.5.9</t>
  </si>
  <si>
    <t>19.6</t>
  </si>
  <si>
    <t>19.6.1</t>
  </si>
  <si>
    <t>19.6.2</t>
  </si>
  <si>
    <t>19.6.3</t>
  </si>
  <si>
    <t>19.6.4</t>
  </si>
  <si>
    <t>19.6.5</t>
  </si>
  <si>
    <t>19.6.6</t>
  </si>
  <si>
    <t>19.6.7</t>
  </si>
  <si>
    <t>19.6.8</t>
  </si>
  <si>
    <t>19.6.9</t>
  </si>
  <si>
    <t>19.7</t>
  </si>
  <si>
    <t>19.7.1</t>
  </si>
  <si>
    <t>19.7.2</t>
  </si>
  <si>
    <t>19.7.3</t>
  </si>
  <si>
    <t>19.7.4</t>
  </si>
  <si>
    <t>19.7.5</t>
  </si>
  <si>
    <t>Panel Vidriado paños fijos y Puerta batientes Tipo DVH40</t>
  </si>
  <si>
    <t>19.7.6</t>
  </si>
  <si>
    <t>Panel Vidriado paños fijos Tipo DVH41</t>
  </si>
  <si>
    <t>19.7.7</t>
  </si>
  <si>
    <t>Panel Vidriado paños proyectantes Tipo DVH42</t>
  </si>
  <si>
    <t>19.7.8</t>
  </si>
  <si>
    <t>Panel Vidriado paño proyectante Tipo DVH43</t>
  </si>
  <si>
    <t>19.7.9</t>
  </si>
  <si>
    <t>19.7.10</t>
  </si>
  <si>
    <t>19.7.11</t>
  </si>
  <si>
    <t>Panel Vidriado paños fijos y paños proyectantes Tipo DVH4</t>
  </si>
  <si>
    <t>19.7.12</t>
  </si>
  <si>
    <t>19.7.13</t>
  </si>
  <si>
    <t>19.8</t>
  </si>
  <si>
    <t>19.8.1</t>
  </si>
  <si>
    <t>19.8.2</t>
  </si>
  <si>
    <t>19.8.3</t>
  </si>
  <si>
    <t>19.8.4</t>
  </si>
  <si>
    <t>19.8.5</t>
  </si>
  <si>
    <t>19.8.6</t>
  </si>
  <si>
    <t>19.8.7</t>
  </si>
  <si>
    <t>19.8.8</t>
  </si>
  <si>
    <t>19.8.9</t>
  </si>
  <si>
    <t>19.9</t>
  </si>
  <si>
    <t>19.9.1</t>
  </si>
  <si>
    <t>19.9.2</t>
  </si>
  <si>
    <t>19.9.3</t>
  </si>
  <si>
    <t>19.9.4</t>
  </si>
  <si>
    <t>19.9.5</t>
  </si>
  <si>
    <t>19.9.6</t>
  </si>
  <si>
    <t>19.9.7</t>
  </si>
  <si>
    <t>19.9.8</t>
  </si>
  <si>
    <t>19.9.9</t>
  </si>
  <si>
    <t>T</t>
  </si>
  <si>
    <t>INSTALACIÓN DE DESAGÜE CLOACAL</t>
  </si>
  <si>
    <t>20.1</t>
  </si>
  <si>
    <t>20.1.1</t>
  </si>
  <si>
    <t xml:space="preserve">CAJA DE INSPECCION TIGRE DN100 </t>
  </si>
  <si>
    <t>Und</t>
  </si>
  <si>
    <t>20.1.2</t>
  </si>
  <si>
    <t>CUERPOR DE REJILLA SIFONADA 150X170X75 TIGRE</t>
  </si>
  <si>
    <t>20.1.3</t>
  </si>
  <si>
    <t>REJILLA SIFONADA 100X140X50 TIGRE</t>
  </si>
  <si>
    <t>20.1.4</t>
  </si>
  <si>
    <t>REJILLA SIFONADA 150X170X75 TIGRE</t>
  </si>
  <si>
    <t>20.1.5</t>
  </si>
  <si>
    <t>DREN DE PISO CIRCULAR ESTANDAR, CROMADO, DE 40MM.</t>
  </si>
  <si>
    <t>20.1.6</t>
  </si>
  <si>
    <t>CUERPO DE REJILLA SIFONADA 100X140X50 TIGRE</t>
  </si>
  <si>
    <t>20.1.7</t>
  </si>
  <si>
    <t>TUBERIA VENTILACIÓN CLOACAL, DE PVC NORMAL, DIAMETRO 50MM, COLGANTE. INCLUYE CONEXIONES.</t>
  </si>
  <si>
    <t>m</t>
  </si>
  <si>
    <t>20.1.8</t>
  </si>
  <si>
    <t>TUBERIA VENTILACIÓN CLOACAL, DE PVC NORMAL, DIAMETRO 75MM, COLGANTE. INCLUYE CONEXIONES.</t>
  </si>
  <si>
    <t>20.1.9</t>
  </si>
  <si>
    <t>TUBERIA DRENAJE CLOACAL, DE PVC REFORZADO, DIAMETRO 40MM, COLGANTE. INCLUYE CONEXIONES.</t>
  </si>
  <si>
    <t>20.1.10</t>
  </si>
  <si>
    <t>TUBERIA DRENAJE CLOACAL, DE PVC REFORZADO, DIAMETRO 50MM, COLGANTE. INCLUYE CONEXIONES.</t>
  </si>
  <si>
    <t>20.1.11</t>
  </si>
  <si>
    <t>TUBERIA DRENAJE CLOACAL, DE PVC REFORZADO, DIAMETRO 75MM, COLGANTE. INCLUYE CONEXIONES.</t>
  </si>
  <si>
    <t>20.1.12</t>
  </si>
  <si>
    <t>TUBERIA DRENAJE DE CLOACAS, DE PVC REFORZADO, DIAMETRO 100MM, COLGANTE. INCLUYE CONEXIONES.</t>
  </si>
  <si>
    <t>20.1.13</t>
  </si>
  <si>
    <t>TUBERIA DRENAJE CLOACAL, DE PVC REFORZADO, DIAMETRO 150MM, COLGANTE. INCLUYE CONEXIONES.</t>
  </si>
  <si>
    <t>20.1.14</t>
  </si>
  <si>
    <t>TUBERIA DRENAJE DE CLOACAS, DE TERMOFUSIÓN, DIAMETRO 110MM, COLGANTE. INCLUYE CONEXIONES.</t>
  </si>
  <si>
    <t>20.1.15</t>
  </si>
  <si>
    <t>TUBERIA VENTILACIÓN CLOACAL, DE PVC NORMAL, DIAMETRO 40MM, COLGANTE. INCLUYE CONEXIONES.</t>
  </si>
  <si>
    <t>20.1.16</t>
  </si>
  <si>
    <t>TUBERIA VENTILACIÓN CLOACAL, DE PVC NORMAL, DIAMETRO 100MM, COLGANTE. INCLUYE CONEXIONES.</t>
  </si>
  <si>
    <t>20.1.17</t>
  </si>
  <si>
    <t xml:space="preserve">PUNTOS DE DRENAJE CLOACAL PVC REFORZAFO, DIAMETRO 100MM, EMBUTIDO O ENTERRADO INCLUYE CONEXIONES. </t>
  </si>
  <si>
    <t>20.1.18</t>
  </si>
  <si>
    <t xml:space="preserve">PUNTOS DE DRENAJE CLOACAL PVC REFORZAFO, DIAMETRO 50MM, EMBUTIDO O ENTERRADO INCLUYE CONEXIONES. </t>
  </si>
  <si>
    <t>20.1.19</t>
  </si>
  <si>
    <t xml:space="preserve">PUNTOS DE DRENAJE CLOACAL PVC REFORZAFO, DIAMETRO 40MM, EMBUTIDO O ENTERRADO INCLUYE CONEXIONES. </t>
  </si>
  <si>
    <t>20.2</t>
  </si>
  <si>
    <t>SUBSUELO 2 - Bloque B</t>
  </si>
  <si>
    <t>20.2.1</t>
  </si>
  <si>
    <t>Instalación del desague cloacal en baños damas funcionarios. Incluye materiales, mano de obra y accesorios.</t>
  </si>
  <si>
    <t>20.2.2</t>
  </si>
  <si>
    <t>Instalación del desague cloacal en baños caballeros funcionarios. Incluye materiales, mano de obra y accesorios.</t>
  </si>
  <si>
    <t>20.2.3</t>
  </si>
  <si>
    <t>Instalación del desague cloacal en kitchennette. Incluye materiales, mano de obra y accesorios.</t>
  </si>
  <si>
    <t>20.2.4</t>
  </si>
  <si>
    <t>SUMINISTRO, TRANSPORTE, INSTALACION, Y PUESTA EN MARCHA DE DOS BOMBAS SUMERGIBLES PARA AGUA RESIDUAL DE USO ALTERNO CON CAPACIDAD DE 500 L/MIN Y MOTORES DE 1,5 HP. CARGA HIDRAULICA 6,3m. MARCA PEDROLLO MODELO MC 15-45 O EQUIVALENTE</t>
  </si>
  <si>
    <t>20.2.5</t>
  </si>
  <si>
    <t>Sumidero cloacal de Hormigon armado, según medidas y detalles, incluye doble tapa metalica para colocacion de piso, aislacion interior y exterior.</t>
  </si>
  <si>
    <t>20.3</t>
  </si>
  <si>
    <t>20.3.1</t>
  </si>
  <si>
    <t>20.3.1.1</t>
  </si>
  <si>
    <t>Instalación del desague cloacal en baño reten. Incluye materiales, mano de obra y accesorios.</t>
  </si>
  <si>
    <t>20.3.1.2</t>
  </si>
  <si>
    <t>Instalación del desague cloacal en baño celda. Incluye materiales, mano de obra y accesorios.</t>
  </si>
  <si>
    <t>20.3.1.3</t>
  </si>
  <si>
    <t>Instalación del desague cloacal en baño descanso guardia. Incluye materiales, mano de obra y accesorios.</t>
  </si>
  <si>
    <t>20.3.1.4</t>
  </si>
  <si>
    <t>Instalación del desague cloacal en kitchennette descanso guardia. Incluye materiales, mano de obra y accesorios.</t>
  </si>
  <si>
    <t>20.3.2</t>
  </si>
  <si>
    <t>20.3.2.1</t>
  </si>
  <si>
    <t>Instalación del desague cloacal en baño damas funcionarios. Incluye materiales, mano de obra y accesorios.</t>
  </si>
  <si>
    <t>20.3.2.2</t>
  </si>
  <si>
    <t>Instalación del desague cloacal en baño caballeros funcionarios. Incluye materiales, mano de obra y accesorios.</t>
  </si>
  <si>
    <t>20.3.2.3</t>
  </si>
  <si>
    <t>20.3.2.4</t>
  </si>
  <si>
    <t>Instalación del desague cloacal en deposito de limpieza. Incluye materiales, mano de obra y accesorios.</t>
  </si>
  <si>
    <t>20.3.2.5</t>
  </si>
  <si>
    <t>Instalación del desague cloacal en baño damas publico. Incluye materiales, mano de obra y accesorios.</t>
  </si>
  <si>
    <t>20.3.2.6</t>
  </si>
  <si>
    <t>Instalación del desague cloacal en baño caballeros publico. Incluye materiales, mano de obra y accesorios.</t>
  </si>
  <si>
    <t>20.3.2.7</t>
  </si>
  <si>
    <t>Instalación del desague cloacal en sala de lactancia. Incluye materiales, mano de obra y accesorios.</t>
  </si>
  <si>
    <t>20.3.3</t>
  </si>
  <si>
    <t>20.3.3.1</t>
  </si>
  <si>
    <t>Instalación del desague cloacal en baño reten adolescente. Incluye materiales, mano de obra y accesorios.</t>
  </si>
  <si>
    <t>20.3.3.2</t>
  </si>
  <si>
    <t>Instalación del desague cloacal en baño espera reten adolescente. Incluye materiales, mano de obra y accesorios.</t>
  </si>
  <si>
    <t>20.3.3.3</t>
  </si>
  <si>
    <t>Instalación del desague cloacal en kitchennette reten adolescente. Incluye materiales, mano de obra y accesorios.</t>
  </si>
  <si>
    <t>20.4</t>
  </si>
  <si>
    <t>20.4.1</t>
  </si>
  <si>
    <t>20.4.1.1</t>
  </si>
  <si>
    <t>20.4.2</t>
  </si>
  <si>
    <t>20.4.2.1</t>
  </si>
  <si>
    <t>20.4.3</t>
  </si>
  <si>
    <t>20.4.3.1</t>
  </si>
  <si>
    <t>20.4.4</t>
  </si>
  <si>
    <t>20.4.4.1</t>
  </si>
  <si>
    <t>20.5</t>
  </si>
  <si>
    <t>20.5.1</t>
  </si>
  <si>
    <t>20.5.1.1</t>
  </si>
  <si>
    <t>20.5.1.2</t>
  </si>
  <si>
    <t>20.5.1.3</t>
  </si>
  <si>
    <t>Instalación del desague cloacal en baño damas magistrados. Incluye materiales, mano de obra y accesorios.</t>
  </si>
  <si>
    <t>20.5.1.4</t>
  </si>
  <si>
    <t>Instalación del desague cloacal en baño caballeros magistrados. Incluye materiales, mano de obra y accesorios.</t>
  </si>
  <si>
    <t>20.5.1.5</t>
  </si>
  <si>
    <t>20.5.1.6</t>
  </si>
  <si>
    <t>20.5.1.7</t>
  </si>
  <si>
    <t>20.5.1.8</t>
  </si>
  <si>
    <t>20.5.1.9</t>
  </si>
  <si>
    <t>Instalación del desague cloacal en baño minusvalidos. Incluye materiales, mano de obra y accesorios.</t>
  </si>
  <si>
    <t>20.5.2</t>
  </si>
  <si>
    <t>20.5.2.1</t>
  </si>
  <si>
    <t>20.5.2.2</t>
  </si>
  <si>
    <t>20.5.2.3</t>
  </si>
  <si>
    <t>20.5.2.4</t>
  </si>
  <si>
    <t>20.5.2.5</t>
  </si>
  <si>
    <t>20.5.2.6</t>
  </si>
  <si>
    <t>20.5.2.7</t>
  </si>
  <si>
    <t>20.5.2.8</t>
  </si>
  <si>
    <t>20.5.2.9</t>
  </si>
  <si>
    <t>20.5.3</t>
  </si>
  <si>
    <t>20.5.3.1</t>
  </si>
  <si>
    <t>20.5.3.2</t>
  </si>
  <si>
    <t>20.5.3.3</t>
  </si>
  <si>
    <t>20.5.3.4</t>
  </si>
  <si>
    <t>20.5.3.5</t>
  </si>
  <si>
    <t>20.5.3.6</t>
  </si>
  <si>
    <t>20.5.3.7</t>
  </si>
  <si>
    <t>20.5.3.8</t>
  </si>
  <si>
    <t>20.5.3.9</t>
  </si>
  <si>
    <t>20.5.4</t>
  </si>
  <si>
    <t>20.5.4.1</t>
  </si>
  <si>
    <t>20.5.4.2</t>
  </si>
  <si>
    <t>20.5.4.3</t>
  </si>
  <si>
    <t>20.5.4.4</t>
  </si>
  <si>
    <t>20.5.4.5</t>
  </si>
  <si>
    <t>20.5.4.6</t>
  </si>
  <si>
    <t>20.5.4.7</t>
  </si>
  <si>
    <t>20.5.4.8</t>
  </si>
  <si>
    <t>20.5.4.9</t>
  </si>
  <si>
    <t>20.5.5</t>
  </si>
  <si>
    <t>20.5.5.1</t>
  </si>
  <si>
    <t>20.5.5.2</t>
  </si>
  <si>
    <t>20.5.5.3</t>
  </si>
  <si>
    <t>20.5.5.4</t>
  </si>
  <si>
    <t>20.5.5.5</t>
  </si>
  <si>
    <t>20.5.5.6</t>
  </si>
  <si>
    <t>20.5.5.7</t>
  </si>
  <si>
    <t>20.5.5.8</t>
  </si>
  <si>
    <t>20.5.5.9</t>
  </si>
  <si>
    <t>20.5.6</t>
  </si>
  <si>
    <t>20.5.6.1</t>
  </si>
  <si>
    <t>20.5.6.2</t>
  </si>
  <si>
    <t>20.5.6.3</t>
  </si>
  <si>
    <t>20.5.6.4</t>
  </si>
  <si>
    <t>20.5.6.5</t>
  </si>
  <si>
    <t>20.5.6.6</t>
  </si>
  <si>
    <t>20.5.6.7</t>
  </si>
  <si>
    <t>20.5.6.8</t>
  </si>
  <si>
    <t>20.5.6.9</t>
  </si>
  <si>
    <t>20.5.7</t>
  </si>
  <si>
    <t>20.5.7.1</t>
  </si>
  <si>
    <t>20.5.7.2</t>
  </si>
  <si>
    <t>20.5.7.3</t>
  </si>
  <si>
    <t>20.6</t>
  </si>
  <si>
    <t>20.6.1</t>
  </si>
  <si>
    <t>20.6.1.1</t>
  </si>
  <si>
    <t>Instalación del desague cloacal en baño vestuario 1. Incluye materiales, mano de obra y accesorios.</t>
  </si>
  <si>
    <t>20.6.1.2</t>
  </si>
  <si>
    <t>Instalación del desague cloacal en baño vestuario 2. Incluye materiales, mano de obra y accesorios.</t>
  </si>
  <si>
    <t>20.6.1.3</t>
  </si>
  <si>
    <t>20.6.1.4</t>
  </si>
  <si>
    <t>20.6.1.5</t>
  </si>
  <si>
    <t>20.6.1.6</t>
  </si>
  <si>
    <t>20.6.1.7</t>
  </si>
  <si>
    <t>20.6.2</t>
  </si>
  <si>
    <t>20.6.2.1</t>
  </si>
  <si>
    <t>20.6.2.2</t>
  </si>
  <si>
    <t>20.6.2.3</t>
  </si>
  <si>
    <t>20.6.2.4</t>
  </si>
  <si>
    <t>Instalación del desague cloacal en baño cocina. Incluye materiales, mano de obra y accesorios.</t>
  </si>
  <si>
    <t>20.6.2.5</t>
  </si>
  <si>
    <t>Instalación del desague cloacal en cocina. Incluye materiales, mano de obra y accesorios.</t>
  </si>
  <si>
    <t>20.7</t>
  </si>
  <si>
    <t>20.7.1</t>
  </si>
  <si>
    <t xml:space="preserve">GUARDERÍA   </t>
  </si>
  <si>
    <t>20.7.1.1</t>
  </si>
  <si>
    <t>Instalación del desague cloacal en baño profesores. Incluye materiales, mano de obra y accesorios.</t>
  </si>
  <si>
    <t>20.7.1.2</t>
  </si>
  <si>
    <t>Instalación del desague cloacal en baño niños. Incluye materiales, mano de obra y accesorios.</t>
  </si>
  <si>
    <t>20.7.1.3</t>
  </si>
  <si>
    <t>Instalación del desague cloacal en enfermeria. Incluye materiales, mano de obra y accesorios.</t>
  </si>
  <si>
    <t>20.7.1.4</t>
  </si>
  <si>
    <t>20.7.2</t>
  </si>
  <si>
    <t>20.7.2.1</t>
  </si>
  <si>
    <t>Instalación del desague cloacal en baño y vestidores damas. Incluye materiales, mano de obra y accesorios.</t>
  </si>
  <si>
    <t>20.7.2.2</t>
  </si>
  <si>
    <t>Instalación del desague cloacal en baño y vestidores caballeros. Incluye materiales, mano de obra y accesorios.</t>
  </si>
  <si>
    <t>20.8</t>
  </si>
  <si>
    <t>ESPACIOS EXTERIORES</t>
  </si>
  <si>
    <t>20.8.1</t>
  </si>
  <si>
    <t>PLANTA DE TRATAMIENTO</t>
  </si>
  <si>
    <t>20.8.1.1</t>
  </si>
  <si>
    <t>Ejecucion de planta de tratamientos de efluentes cloacales según detalle.</t>
  </si>
  <si>
    <t>20.8.1.2</t>
  </si>
  <si>
    <t>Asesoramiento tecnico durante la ejecion de la planta de tratamiento</t>
  </si>
  <si>
    <t>20.8.1.3</t>
  </si>
  <si>
    <t>Registros cloacales de hormigon armado con dobre tapa.</t>
  </si>
  <si>
    <t>20.8.1.4</t>
  </si>
  <si>
    <t>Camara septica de hormigon armado según detalle, con tapas de hormigon y aislacion externa</t>
  </si>
  <si>
    <t>20.8.1.5</t>
  </si>
  <si>
    <t>Bombas y controles para el sistema de la planta de tratamiento.</t>
  </si>
  <si>
    <t>20.8.1.6</t>
  </si>
  <si>
    <t>Sistema de cloracion para aguas residuales</t>
  </si>
  <si>
    <t>20.8.2</t>
  </si>
  <si>
    <t>REGISTROS Y SUMIDEROS</t>
  </si>
  <si>
    <t>20.8.2.1</t>
  </si>
  <si>
    <t>Registros de Hormigon Armado, doble tapa, tapa superior metalica con chapa doblada grecada y manija con marco de angulo metalico. Medida interior 40x40cm.</t>
  </si>
  <si>
    <t>20.8.2.2</t>
  </si>
  <si>
    <t>Registros de Hormigon Armado, doble tapa, tapa superior metalica con chapa doblada grecada y manija con marco de angulo metalico. Medida interior 60x60cm.</t>
  </si>
  <si>
    <t>20.8.2.3</t>
  </si>
  <si>
    <t>Registros de Hormigon Armado, doble tapa, tapa superior metalica con chapa doblada grecada y manija con marco de angulo metalico. Medida interior 80x80cm.</t>
  </si>
  <si>
    <t>20.8.2.4</t>
  </si>
  <si>
    <t>Registros de Hormigon Armado, doble tapa, tapa superior metalica con chapa doblada grecada y manija con marco de angulo metalico. Medida interior 100x100cm.</t>
  </si>
  <si>
    <t>20.8.3</t>
  </si>
  <si>
    <t>CAÑERÍAS</t>
  </si>
  <si>
    <t>20.8.3.1</t>
  </si>
  <si>
    <t>Cañeria de PVC serie R de 100mm. Incluye la excavacion, colocacion de arena lavada, guiadores de mamposteria de 0,15 cada 50cm., arena lavada para cubrir y ladrillos dispuestos sobre la arena como proteccion mecanica.</t>
  </si>
  <si>
    <t>20.8.3.2</t>
  </si>
  <si>
    <t>Cañeria de PVC serie R de 150mm. Incluye la excavacion, colocacion de arena lavada, guiadores de mamposteria de 0,15 cada 50cm., arena lavada para cubrir y ladrillos dispuestos sobre la arena como proteccion mecanica.</t>
  </si>
  <si>
    <t>20.8.3.3</t>
  </si>
  <si>
    <t>Cañeria de PVC serie R de 200mm. Incluye la excavacion, colocacion de arena lavada, guiadores de mamposteria de 0,15 cada 50cm., arena lavada para cubrir y ladrillos dispuestos sobre la arena como proteccion mecanica.</t>
  </si>
  <si>
    <t>20.8.3.4</t>
  </si>
  <si>
    <t>Cañeria de PVC serie R de 250mm. Incluye la excavacion, colocacion de arena lavada, guiadores de mamposteria de 0,15 cada 50cm., arena lavada para cubrir y ladrillos dispuestos sobre la arena como proteccion mecanica.</t>
  </si>
  <si>
    <t>21</t>
  </si>
  <si>
    <t>U</t>
  </si>
  <si>
    <t>INSTALACION DE AGUA CORRIENTE</t>
  </si>
  <si>
    <t>21.1</t>
  </si>
  <si>
    <t>21.1.1</t>
  </si>
  <si>
    <t>Gestión de conexión a la red pública</t>
  </si>
  <si>
    <t>21.1.2</t>
  </si>
  <si>
    <t>Acometida con cañería de 1" de Termofusión hasta filtro ubicado en Sala de Bombas.</t>
  </si>
  <si>
    <t>21.1.3</t>
  </si>
  <si>
    <t>Registro de paso, llave de media vuelta y accesorios sobre la acometida que corresponden a la misma marca de caños utilizado</t>
  </si>
  <si>
    <t>21.1.4</t>
  </si>
  <si>
    <t>Batería de filtros para agua  proveniente de Essap antes del vertido al tanque inferior. Incluye soportes, cañerías de conexión, accesorios u otros componentes, según especificaciones técnicas.</t>
  </si>
  <si>
    <t>21.1.5</t>
  </si>
  <si>
    <t>TUBERIA AGUAS CLARAS, DE TERMOFUSIÓN, DIAMETRO 25MM, COLGANTE. INCLUYE CONEXIONES.</t>
  </si>
  <si>
    <t>21.1.6</t>
  </si>
  <si>
    <t>TUBERIA AGUAS CLARAS, DE TERMOFUSIÓN, DIAMETRO 32MM, COLGANTE. INCLUYE CONEXIONES.</t>
  </si>
  <si>
    <t>21.1.7</t>
  </si>
  <si>
    <t>TUBERIA AGUAS CORRIENTE, DE TERMOFUSIÓN, DIAMETRO 40MM, COLGANTE. INCLUYE CONEXIONES.</t>
  </si>
  <si>
    <t>21.1.8</t>
  </si>
  <si>
    <t>TUBERIA AGUAS CLARAS, DE TERMOFUSIÓN, DIAMETRO 50MM, COLGANTE. INCLUYE CONEXIONES.</t>
  </si>
  <si>
    <t>21.1.9</t>
  </si>
  <si>
    <t>TUBERIA AGUAS CLARAS, DE TERMOFUSIÓN, DIAMETRO 63MM, COLGANTE. INCLUYE CONEXIONES.</t>
  </si>
  <si>
    <t>21.1.10</t>
  </si>
  <si>
    <t>TUBERIA AGUAS CLARAS, DE TERMOFUSIÓN, DIAMETRO 75MM, COLGANTE. INCLUYE CONEXIONES.</t>
  </si>
  <si>
    <t>21.1.11</t>
  </si>
  <si>
    <t>TUBERIA AGUAS CLARAS, DE TERMOFUSIÓN, DIAMETRO 110MM, COLGANTE. INCLUYE CONEXIONES.</t>
  </si>
  <si>
    <t>21.1.12</t>
  </si>
  <si>
    <t>TUBERIA AGUAS CORRIENTE, DE TERMOFUSIÓN, DIAMETRO 110MM, COLGANTE. INCLUYE CONEXIONES. (ADUCCION DESDE POZO ARTESANO)</t>
  </si>
  <si>
    <t>21.1.13</t>
  </si>
  <si>
    <t>SUMINISTRO Y TRANSPORTE DE LLAVE DE PASO, TIPO ESFERICA O DE BOLA, DE ALEACION DE METALES, DIAMETRO 32MM.</t>
  </si>
  <si>
    <t>21.1.14</t>
  </si>
  <si>
    <t>SUMINISTRO Y TRANSPORTE DE LLAVE DE PASO, TIPO ESFERICA O DE BOLA, DE ALEACION DE METALES, DIAMETRO 40MM.</t>
  </si>
  <si>
    <t>21.1.15</t>
  </si>
  <si>
    <t>SUMINISTRO Y TRANSPORTE DE LLAVE DE PASO, TIPO ESFERICA O DE BOLA, DE ALEACION DE METALES, DIAMETRO 50MM.</t>
  </si>
  <si>
    <t>21.1.16</t>
  </si>
  <si>
    <t>SUMINISTRO Y TRANSPORTE DE LLAVE DE PASO, TIPO ESFERICA O DE BOLA, DE ALEACION DE METALES, DIAMETRO 63MM.</t>
  </si>
  <si>
    <t>21.1.17</t>
  </si>
  <si>
    <t>SUMINISTRO Y TRANSPORTE DE LLAVE DE PASO, TIPO ESFERICA O DE BOLA, DE ALEACION DE METALES, DIAMETRO 75MM.</t>
  </si>
  <si>
    <t>21.1.18</t>
  </si>
  <si>
    <t>SUMINISTRO Y TRANSPORTE DE LLAVE DE PASO, TIPO ESFERICA O DE BOLA, DE ALEACION DE METALES, DIAMETRO 100MM.</t>
  </si>
  <si>
    <t>21.1.19</t>
  </si>
  <si>
    <t xml:space="preserve">PUNTOS DE AGUA CORRIENTE DE TERMOFUSION, DIAMETRO 32MM, EMBUTIDO O ENTERRADO INCLUYE CONEXIONES. </t>
  </si>
  <si>
    <t>21.1.20</t>
  </si>
  <si>
    <t xml:space="preserve">PUNTOS DE AGUA CORRIENTE DE TERMOFUSION, DIAMETRO 40MM, EMBUTIDO O ENTERRADO INCLUYE CONEXIONES. </t>
  </si>
  <si>
    <t>21.1.21</t>
  </si>
  <si>
    <t xml:space="preserve">PUNTOS DE AGUA CORRIENTE DE TERMOFUSION, DIAMETRO 50MM, EMBUTIDO O ENTERRADO INCLUYE CONEXIONES. </t>
  </si>
  <si>
    <t>21.1.22</t>
  </si>
  <si>
    <t>SUMINISTRO, TRANSPORTE, INSTALACION, Y PUESTA EN MARCHA DE DOS BOMBAS DE USO ALTERNO CON CAPACIDAD DE 180 L/MIN Y MOTORES DE 2 HP. CARGA HIDRAULICA 15m. MARCA PEDROLLO MODELO MK8/4 O EQUIVALENTE</t>
  </si>
  <si>
    <t>21.1.23</t>
  </si>
  <si>
    <t>SUMINISTRO, TRANSPORTE, INSTALACION, Y PUESTA EN MARCHA DE TRES BOMBAS DE USO ALTERNO (2+1)  CON CAPACIDAD DE 140 L/MIN Y MOTORES DE 2,5 HP. CARGA HIDRAULICA 40m. MARCA PEDROLLO MODELO MK8/5 O EQUIVALENTE</t>
  </si>
  <si>
    <t>21.1.24</t>
  </si>
  <si>
    <t>SUMINISTRO, TRANSPORTE, INSTALACIÓN, Y PUESTA EN MARCHA DE BOMBAS DOSIFICADORAS ELECTROMAGNÉTICAS - SERIE EMD MARCA: DOSIVAC MODELO: ED 05010 PRESION: 10kg/cm² O EQUIVALENTE. INCLUIR TANQUE DE FIBRA DE VIDRIO o PVC DE 200L</t>
  </si>
  <si>
    <t>21.2</t>
  </si>
  <si>
    <t>21.2.1</t>
  </si>
  <si>
    <t>Instalación de cañerias de agua corriente, limpia y reciclada en baño damas funcionarios. Incluye materiales, mano de obra y accesorios.</t>
  </si>
  <si>
    <t>21.2.2</t>
  </si>
  <si>
    <t>Instalación de cañerias de agua corriente, limpia y reciclada en baño caballeros funcionarios. Incluye materiales, mano de obra y accesorios.</t>
  </si>
  <si>
    <t>21.2.3</t>
  </si>
  <si>
    <t>Instalación de cañerias de agua corriente, limpia y reciclada en kitchennette. Incluye materiales, mano de obra y accesorios.</t>
  </si>
  <si>
    <t>21.3</t>
  </si>
  <si>
    <t>21.3.1</t>
  </si>
  <si>
    <t>21.3.1.1</t>
  </si>
  <si>
    <t>Instalación de cañerias de agua corriente, limpia y reciclada en baño reten. Incluye materiales, mano de obra y accesorios.</t>
  </si>
  <si>
    <t>21.3.1.2</t>
  </si>
  <si>
    <t>Instalación de cañerias de agua corriente, limpia y reciclada en baño celda. Incluye materiales, mano de obra y accesorios.</t>
  </si>
  <si>
    <t>21.3.1.3</t>
  </si>
  <si>
    <t>Instalación de cañerias de agua corriente, limpia y reciclada en baño descanso guardia. Incluye materiales, mano de obra y accesorios.</t>
  </si>
  <si>
    <t>21.3.1.4</t>
  </si>
  <si>
    <t>Instalación de cañerias de agua corriente, limpia y reciclada en kitchennette descanso guardia. Incluye materiales, mano de obra y accesorios.</t>
  </si>
  <si>
    <t>21.3.2</t>
  </si>
  <si>
    <t>21.3.2.1</t>
  </si>
  <si>
    <t>Instalación de cañerias de agua corriente, limpia y reciclada enbaño damas funcionarios. Incluye materiales, mano de obra y accesorios.</t>
  </si>
  <si>
    <t>21.3.2.2</t>
  </si>
  <si>
    <t>21.3.2.3</t>
  </si>
  <si>
    <t>21.3.2.4</t>
  </si>
  <si>
    <t>Instalación de cañerias de agua corriente, limpia y reciclada en deposito de limpieza. Incluye materiales, mano de obra y accesorios.</t>
  </si>
  <si>
    <t>21.3.2.5</t>
  </si>
  <si>
    <t>Instalación de cañerias de agua corriente, limpia y reciclada en baño damas publico. Incluye materiales, mano de obra y accesorios.</t>
  </si>
  <si>
    <t>21.3.2.6</t>
  </si>
  <si>
    <t>Instalación de cañerias de agua corriente, limpia y reciclada en baño caballeros publico. Incluye materiales, mano de obra y accesorios.</t>
  </si>
  <si>
    <t>21.3.2.7</t>
  </si>
  <si>
    <t>Instalación de cañerias de agua corriente, limpia y reciclada en sala de lactancia. Incluye materiales, mano de obra y accesorios.</t>
  </si>
  <si>
    <t>21.3.3</t>
  </si>
  <si>
    <t>21.3.3.1</t>
  </si>
  <si>
    <t>Instalación de cañerias de agua corriente, limpia y reciclada en baño reten adolescente. Incluye materiales, mano de obra y accesorios.</t>
  </si>
  <si>
    <t>21.3.3.2</t>
  </si>
  <si>
    <t>Instalación de cañerias de agua corriente, limpia y reciclada en baño espera reten adolescente. Incluye materiales, mano de obra y accesorios.</t>
  </si>
  <si>
    <t>21.3.3.3</t>
  </si>
  <si>
    <t>Instalación de cañerias de agua corriente, limpia y reciclada en kitchennette reten adolescente. Incluye materiales, mano de obra y accesorios.</t>
  </si>
  <si>
    <t>21.4</t>
  </si>
  <si>
    <t>21.4.1</t>
  </si>
  <si>
    <t>21.4.1.1</t>
  </si>
  <si>
    <t>Instalación de cañerias de agua corriente, limpia y reciclada en  baño reten. Incluye materiales, mano de obra y accesorios.</t>
  </si>
  <si>
    <t>21.4.2</t>
  </si>
  <si>
    <t>21.4.2.1</t>
  </si>
  <si>
    <t>21.4.3</t>
  </si>
  <si>
    <t>21.4.3.1</t>
  </si>
  <si>
    <t>21.4.4</t>
  </si>
  <si>
    <t>21.4.4.1</t>
  </si>
  <si>
    <t>21.5</t>
  </si>
  <si>
    <t>21.5.1</t>
  </si>
  <si>
    <t>21.5.1.1</t>
  </si>
  <si>
    <t>21.5.1.2</t>
  </si>
  <si>
    <t>21.5.1.3</t>
  </si>
  <si>
    <t>Instalación de cañerias de agua corriente, limpia y reciclada en baño damas magistrados. Incluye materiales, mano de obra y accesorios.</t>
  </si>
  <si>
    <t>21.5.1.4</t>
  </si>
  <si>
    <t>Instalación de cañerias de agua corriente, limpia y reciclada en baño caballeros magistrados. Incluye materiales, mano de obra y accesorios.</t>
  </si>
  <si>
    <t>21.5.1.5</t>
  </si>
  <si>
    <t>21.5.1.6</t>
  </si>
  <si>
    <t>21.5.1.7</t>
  </si>
  <si>
    <t>21.5.1.8</t>
  </si>
  <si>
    <t>21.5.1.9</t>
  </si>
  <si>
    <t>Instalación de cañerias de agua corriente, limpia y reciclada en baño minusvalidos. Incluye materiales, mano de obra y accesorios.</t>
  </si>
  <si>
    <t>21.5.2</t>
  </si>
  <si>
    <t>21.5.2.1</t>
  </si>
  <si>
    <t>21.5.2.2</t>
  </si>
  <si>
    <t>21.5.2.3</t>
  </si>
  <si>
    <t>21.5.2.4</t>
  </si>
  <si>
    <t>21.5.2.5</t>
  </si>
  <si>
    <t>21.5.2.6</t>
  </si>
  <si>
    <t>21.5.2.7</t>
  </si>
  <si>
    <t>21.5.2.8</t>
  </si>
  <si>
    <t>21.5.2.9</t>
  </si>
  <si>
    <t>21.5.3</t>
  </si>
  <si>
    <t>21.5.3.1</t>
  </si>
  <si>
    <t>21.5.3.2</t>
  </si>
  <si>
    <t>21.5.3.3</t>
  </si>
  <si>
    <t>21.5.3.4</t>
  </si>
  <si>
    <t>21.5.3.5</t>
  </si>
  <si>
    <t>21.5.3.6</t>
  </si>
  <si>
    <t>21.5.3.7</t>
  </si>
  <si>
    <t>21.5.3.8</t>
  </si>
  <si>
    <t>21.5.3.9</t>
  </si>
  <si>
    <t>21.5.4</t>
  </si>
  <si>
    <t>21.5.4.1</t>
  </si>
  <si>
    <t>21.5.4.2</t>
  </si>
  <si>
    <t>21.5.4.3</t>
  </si>
  <si>
    <t>21.5.4.4</t>
  </si>
  <si>
    <t>21.5.4.5</t>
  </si>
  <si>
    <t>21.5.4.6</t>
  </si>
  <si>
    <t>21.5.4.7</t>
  </si>
  <si>
    <t>21.5.4.8</t>
  </si>
  <si>
    <t>21.5.4.9</t>
  </si>
  <si>
    <t>21.5.5</t>
  </si>
  <si>
    <t>21.5.5.1</t>
  </si>
  <si>
    <t>21.5.5.2</t>
  </si>
  <si>
    <t>21.5.5.3</t>
  </si>
  <si>
    <t>21.5.5.4</t>
  </si>
  <si>
    <t>21.5.5.5</t>
  </si>
  <si>
    <t>21.5.5.6</t>
  </si>
  <si>
    <t>21.5.5.7</t>
  </si>
  <si>
    <t>21.5.5.8</t>
  </si>
  <si>
    <t>21.5.5.9</t>
  </si>
  <si>
    <t>21.5.6</t>
  </si>
  <si>
    <t>21.5.6.1</t>
  </si>
  <si>
    <t>21.5.6.2</t>
  </si>
  <si>
    <t>21.5.6.3</t>
  </si>
  <si>
    <t>21.5.6.4</t>
  </si>
  <si>
    <t>21.5.6.5</t>
  </si>
  <si>
    <t>21.5.6.6</t>
  </si>
  <si>
    <t>21.5.6.7</t>
  </si>
  <si>
    <t>21.5.6.8</t>
  </si>
  <si>
    <t>21.5.6.9</t>
  </si>
  <si>
    <t>21.5.7</t>
  </si>
  <si>
    <t>21.5.7.1</t>
  </si>
  <si>
    <t>21.5.7.2</t>
  </si>
  <si>
    <t>21.5.7.3</t>
  </si>
  <si>
    <t>21.6</t>
  </si>
  <si>
    <t>21.6.1</t>
  </si>
  <si>
    <t>21.6.1.1</t>
  </si>
  <si>
    <t>Instalación de cañerias de agua corriente, limpia y reciclada en baño vestuario 1. Incluye materiales, mano de obra y accesorios.</t>
  </si>
  <si>
    <t>21.6.1.2</t>
  </si>
  <si>
    <t>Instalación de cañerias de agua corriente, limpia y reciclada en baño vestuario 2. Incluye materiales, mano de obra y accesorios.</t>
  </si>
  <si>
    <t>21.6.1.3</t>
  </si>
  <si>
    <t>21.6.1.4</t>
  </si>
  <si>
    <t>21.6.1.5</t>
  </si>
  <si>
    <t>21.6.2</t>
  </si>
  <si>
    <t>21.6.2.1</t>
  </si>
  <si>
    <t>Instalación de cañerias de agua corriente, limpia y reciclada enbaño damas publico. Incluye materiales, mano de obra y accesorios.</t>
  </si>
  <si>
    <t>21.6.2.2</t>
  </si>
  <si>
    <t>21.6.2.3</t>
  </si>
  <si>
    <t>21.6.2.4</t>
  </si>
  <si>
    <t>Instalación de cañerias de agua corriente, limpia y reciclada en baño cocina. Incluye materiales, mano de obra y accesorios.</t>
  </si>
  <si>
    <t>21.6.2.5</t>
  </si>
  <si>
    <t>Instalación de cañerias de agua corriente, limpia y reciclada en cocina. Incluye materiales, mano de obra y accesorios.</t>
  </si>
  <si>
    <t>21.7</t>
  </si>
  <si>
    <t>21.7.1</t>
  </si>
  <si>
    <t>21.7.1.1</t>
  </si>
  <si>
    <t>Instalación de cañerias de agua corriente, limpia y reciclada en baño profesores. Incluye materiales, mano de obra y accesorios.</t>
  </si>
  <si>
    <t>21.7.1.2</t>
  </si>
  <si>
    <t>Instalación de cañerias de agua corriente, limpia y reciclada en baño niños. Incluye materiales, mano de obra y accesorios.</t>
  </si>
  <si>
    <t>21.7.1.3</t>
  </si>
  <si>
    <t>Instalación de cañerias de agua corriente, limpia y reciclada en enfermeria. Incluye materiales, mano de obra y accesorios.</t>
  </si>
  <si>
    <t>21.7.1.4</t>
  </si>
  <si>
    <t>21.7.2</t>
  </si>
  <si>
    <t>21.7.2.1</t>
  </si>
  <si>
    <t>Instalación de cañerias de agua corriente, limpia y reciclada en baño y vestidores damas. Incluye materiales, mano de obra y accesorios.</t>
  </si>
  <si>
    <t>21.7.2.2</t>
  </si>
  <si>
    <t>Instalación de cañerias de agua corriente, limpia y reciclada en baño y vestidores caballeros. Incluye materiales, mano de obra y accesorios.</t>
  </si>
  <si>
    <t>21.8</t>
  </si>
  <si>
    <t>21.8.1</t>
  </si>
  <si>
    <t>REGADIO EXTERIOR</t>
  </si>
  <si>
    <t>21.8.1.1</t>
  </si>
  <si>
    <t>Sistema de regadio automatico en terraza jardin, incluye electrovalvula temporizable, picos de aspersion y todos los componentes y accesorios necesarios para su correcto funcionamiento.</t>
  </si>
  <si>
    <t>21.8.1.2</t>
  </si>
  <si>
    <t>Canillas de patio, distribuidos en el exterior del edificio. Canilla de 3/4", registro de hormigon con tapa metalica batiente, porta candado y candado incluido. Según planos.</t>
  </si>
  <si>
    <t>21.8.2</t>
  </si>
  <si>
    <t>U.2</t>
  </si>
  <si>
    <t>POZO ARTESIANO</t>
  </si>
  <si>
    <t>21.8.2.1</t>
  </si>
  <si>
    <t>Perforación de pozo profundo con inyección de lodo bentonitico o polímeros en diámetro 14” (355mm); profundidad mínima 150m; caudal mínimo 27.000 litros por día.</t>
  </si>
  <si>
    <t>21.8.2.2</t>
  </si>
  <si>
    <t>Tubos PVC geomecánico aditivado; zapata de apoyo; filtros PVC geomecánico aditivado; centralizadores metálicos; accesorios</t>
  </si>
  <si>
    <t>21.8.2.3</t>
  </si>
  <si>
    <t>Sello sanitario; aislación vertical; desinfección del pozo</t>
  </si>
  <si>
    <t>21.8.2.4</t>
  </si>
  <si>
    <t>Provisión y montaje de electro bomba sumergible, monofásica, 220V, 50Hz; caudal 2.700 litros / hora</t>
  </si>
  <si>
    <t>21.8.2.5</t>
  </si>
  <si>
    <t>Provisión de electro bomba sumergible de reserva, monofásica, 220V, 50Hz; caudal 10.000 litros / hora</t>
  </si>
  <si>
    <t>21.8.2.6</t>
  </si>
  <si>
    <t>Tuberías; boya; cables; piolas y accesorios de electro bomba</t>
  </si>
  <si>
    <t>21.8.2.7</t>
  </si>
  <si>
    <t>Tablero de monitoreo y control en Sala de Control</t>
  </si>
  <si>
    <t>21.8.2.8</t>
  </si>
  <si>
    <t>Caseta de protección del pozo; señalizaciones</t>
  </si>
  <si>
    <t>21.8.2.9</t>
  </si>
  <si>
    <t>TUBERÍAS DE CONEXIÓN DE POZO ARTESIANO A TANQUE INFERIOR</t>
  </si>
  <si>
    <t>21.8.2.10</t>
  </si>
  <si>
    <t>Boyas de para encendido y corte de electrobomba en tanque inferior</t>
  </si>
  <si>
    <t>21.8.2.11</t>
  </si>
  <si>
    <t>Tuberías de PVC - PBS clase 10 de 50mm para conexión a tanque inferior</t>
  </si>
  <si>
    <t>21.8.2.12</t>
  </si>
  <si>
    <t>Válvulas esféricas de media vuelta, accesorios galvanizados y otros materiales</t>
  </si>
  <si>
    <t>22</t>
  </si>
  <si>
    <t>V</t>
  </si>
  <si>
    <t>ARTEFACTOS SANITARIOS</t>
  </si>
  <si>
    <t>22.1</t>
  </si>
  <si>
    <t>22.1.1</t>
  </si>
  <si>
    <t>Inodoro Tipo Deca Ravena con válvula de descarga activado con sensor infrarrojo y tapa acolchada.</t>
  </si>
  <si>
    <t>22.1.2</t>
  </si>
  <si>
    <r>
      <t>Bacha de loza embutida en mesada de granito natural, grifería con válvula activada con sensor infrarrojo Tipo FV TRONIC</t>
    </r>
    <r>
      <rPr>
        <sz val="10"/>
        <color rgb="FFFF0000"/>
        <rFont val="Arial"/>
        <family val="2"/>
      </rPr>
      <t xml:space="preserve">, </t>
    </r>
    <r>
      <rPr>
        <sz val="10"/>
        <rFont val="Arial"/>
        <family val="2"/>
      </rPr>
      <t>sifón metalico cromado y desagüe.</t>
    </r>
  </si>
  <si>
    <t>22.1.3</t>
  </si>
  <si>
    <t xml:space="preserve">Mingitorio sifonado con válvula activada con sensor infrarrojo </t>
  </si>
  <si>
    <t>22.1.4</t>
  </si>
  <si>
    <t>Expendedor de jabón líquido</t>
  </si>
  <si>
    <t>22.1.5</t>
  </si>
  <si>
    <t xml:space="preserve">Dispensador de papel higienico metálico de aplicar </t>
  </si>
  <si>
    <t>22.1.6</t>
  </si>
  <si>
    <t xml:space="preserve">Canilla cromada pico manguera de 1/2" </t>
  </si>
  <si>
    <t>22.1.7</t>
  </si>
  <si>
    <t>Percha metálica cromada</t>
  </si>
  <si>
    <t>22.1.8</t>
  </si>
  <si>
    <t>Secamanos eléctrico</t>
  </si>
  <si>
    <t>22.1.9</t>
  </si>
  <si>
    <t>Pileta de accero inoxidable con grifería picomóvil, desague con sifón cromado y desengrasador, montada en mesada de granito natural, en Kitcenette</t>
  </si>
  <si>
    <t>22.2</t>
  </si>
  <si>
    <t>SUBSUELO 1 - BLOQUES A, B y C</t>
  </si>
  <si>
    <t>22.2.1</t>
  </si>
  <si>
    <t>22.2.2</t>
  </si>
  <si>
    <t>Tasa Turca de Losa con válvula hidra con pulsador antivandalismo</t>
  </si>
  <si>
    <t>22.2.3</t>
  </si>
  <si>
    <t>Lavatorio con pedestal y grifería  con válvula activada con sensor infrarrojo</t>
  </si>
  <si>
    <t>22.2.4</t>
  </si>
  <si>
    <t>Lavatorio sin pedestal y grifería  con válvula activada con sensor infrarrojo</t>
  </si>
  <si>
    <t>22.2.5</t>
  </si>
  <si>
    <t>Bacha de loza embutida en mesada de granito natural, grifería con válvula activada con sensor infrarrojo Tipo FV TRONIC, sifón metalico cromado y desagüe.</t>
  </si>
  <si>
    <t>22.2.6</t>
  </si>
  <si>
    <t>22.2.7</t>
  </si>
  <si>
    <t>Lavamopas de acero inoxidable, incluye griferia de pico movil y sifon.</t>
  </si>
  <si>
    <t>22.2.8</t>
  </si>
  <si>
    <t>22.2.9</t>
  </si>
  <si>
    <t>Expendedor de papel higienico de aplicar, metálico, cromado.</t>
  </si>
  <si>
    <t>22.2.10</t>
  </si>
  <si>
    <t>Expendedor de papel higienico de losa, embutida, en baño Reos.</t>
  </si>
  <si>
    <t>22.2.11</t>
  </si>
  <si>
    <t>Jabonera de losa de embutir para área de duchas y para Reos.</t>
  </si>
  <si>
    <t>22.2.12</t>
  </si>
  <si>
    <t>22.2.13</t>
  </si>
  <si>
    <t>22.2.14</t>
  </si>
  <si>
    <t>Ducha Electrica</t>
  </si>
  <si>
    <t>22.2.15</t>
  </si>
  <si>
    <t>22.2.16</t>
  </si>
  <si>
    <t xml:space="preserve">Pileta de acero inoxidable con bacha de 50x50 cm. montada sobre mesadade granito natural. Sifón metálico y desengrasador </t>
  </si>
  <si>
    <t>22.2.17</t>
  </si>
  <si>
    <t>Grifería pico movil</t>
  </si>
  <si>
    <t>22.3</t>
  </si>
  <si>
    <t>Tasa Turca de Losa con válvula hidra con con sensor infrarrojo</t>
  </si>
  <si>
    <t>Jabonera de losa de embutir para baño de Reos.</t>
  </si>
  <si>
    <t>20.3.1.5</t>
  </si>
  <si>
    <t>22.3.2</t>
  </si>
  <si>
    <t>22.3.3</t>
  </si>
  <si>
    <t>22.3.3.1</t>
  </si>
  <si>
    <t>22.3.3.2</t>
  </si>
  <si>
    <t>22.3.3.3</t>
  </si>
  <si>
    <t>22.3.3.4</t>
  </si>
  <si>
    <t>22.3.3.5</t>
  </si>
  <si>
    <t>22.3.4</t>
  </si>
  <si>
    <t>22.3.4.1</t>
  </si>
  <si>
    <t>22.3.4.2</t>
  </si>
  <si>
    <t>22.3.4.3</t>
  </si>
  <si>
    <t>22.3.4.4</t>
  </si>
  <si>
    <t>22.3.4.5</t>
  </si>
  <si>
    <t>22.3.5</t>
  </si>
  <si>
    <t>22.3.5.1</t>
  </si>
  <si>
    <t>22.3.5.2</t>
  </si>
  <si>
    <t>22.3.5.3</t>
  </si>
  <si>
    <t>22.3.5.4</t>
  </si>
  <si>
    <t>22.3.5.5</t>
  </si>
  <si>
    <t>22.3.6</t>
  </si>
  <si>
    <t>22.3.6.1</t>
  </si>
  <si>
    <t>Inodoro Tipo Deca Montecarlo con válvula de descarga activado con sensor infrarrojo y tapa acolchada.</t>
  </si>
  <si>
    <t>22.3.6.2</t>
  </si>
  <si>
    <t>22.3.6.3</t>
  </si>
  <si>
    <t>22.3.6.4</t>
  </si>
  <si>
    <t>22.3.6.5</t>
  </si>
  <si>
    <t>22.3.6.6</t>
  </si>
  <si>
    <t>22.3.6.7</t>
  </si>
  <si>
    <t>Portatoalla de aplicar, metálico cromado.</t>
  </si>
  <si>
    <t>22.4</t>
  </si>
  <si>
    <t>22.4.1</t>
  </si>
  <si>
    <t>22.4.1.1</t>
  </si>
  <si>
    <t>22.4.1.2</t>
  </si>
  <si>
    <t>22.4.1.3</t>
  </si>
  <si>
    <t>Inodoro Tipo especial para impedidos con válvula de descarga activado con sensor infrarrojo y tapa acolchada. Ver detalle</t>
  </si>
  <si>
    <t>22.4.1.4</t>
  </si>
  <si>
    <t>Lavatorio con pedestal suspendido y grifería  con válvula activada con sensor infrarrojo. Ver detalle</t>
  </si>
  <si>
    <t>22.4.1.5</t>
  </si>
  <si>
    <t>22.4.1.6</t>
  </si>
  <si>
    <t>22.4.1.7</t>
  </si>
  <si>
    <t>22.4.1.8</t>
  </si>
  <si>
    <t>22.4.1.9</t>
  </si>
  <si>
    <t>22.4.1.10</t>
  </si>
  <si>
    <t>22.4.1.11</t>
  </si>
  <si>
    <t>22.4.1.12</t>
  </si>
  <si>
    <t>22.4.1.13</t>
  </si>
  <si>
    <t>Par de apoyos metálicos auxiliares para impedidos físicos, uno fijo y otro móvil</t>
  </si>
  <si>
    <t>22.4.1.14</t>
  </si>
  <si>
    <t>22.4.1.15</t>
  </si>
  <si>
    <t>22.4.2</t>
  </si>
  <si>
    <t>22.4.2.1</t>
  </si>
  <si>
    <t>22.4.2.2</t>
  </si>
  <si>
    <t>22.4.2.3</t>
  </si>
  <si>
    <t>22.4.2.4</t>
  </si>
  <si>
    <t>22.4.2.5</t>
  </si>
  <si>
    <t>22.4.2.6</t>
  </si>
  <si>
    <t>22.4.2.7</t>
  </si>
  <si>
    <t>22.4.2.8</t>
  </si>
  <si>
    <t>22.4.2.9</t>
  </si>
  <si>
    <t>22.4.2.10</t>
  </si>
  <si>
    <t>22.4.2.11</t>
  </si>
  <si>
    <t>22.4.2.12</t>
  </si>
  <si>
    <t>22.4.3</t>
  </si>
  <si>
    <t>22.4.3.1</t>
  </si>
  <si>
    <t>22.4.3.2</t>
  </si>
  <si>
    <t>22.4.3.3</t>
  </si>
  <si>
    <t>22.4.3.4</t>
  </si>
  <si>
    <t>22.4.3.5</t>
  </si>
  <si>
    <t>22.4.3.6</t>
  </si>
  <si>
    <t>22.4.3.7</t>
  </si>
  <si>
    <t>22.4.3.8</t>
  </si>
  <si>
    <t>22.4.3.9</t>
  </si>
  <si>
    <t>22.4.3.10</t>
  </si>
  <si>
    <t>22.4.3.11</t>
  </si>
  <si>
    <t>22.4.3.12</t>
  </si>
  <si>
    <t>22.4.3.13</t>
  </si>
  <si>
    <t>22.4.3.14</t>
  </si>
  <si>
    <t>22.4.3.15</t>
  </si>
  <si>
    <t>22.4.4</t>
  </si>
  <si>
    <t>22.4.4.1</t>
  </si>
  <si>
    <t>22.4.4.2</t>
  </si>
  <si>
    <t>22.4.4.3</t>
  </si>
  <si>
    <t>22.4.4.4</t>
  </si>
  <si>
    <t>22.4.4.5</t>
  </si>
  <si>
    <t>22.4.4.6</t>
  </si>
  <si>
    <t>22.4.4.7</t>
  </si>
  <si>
    <t>22.4.4.8</t>
  </si>
  <si>
    <t>22.4.4.9</t>
  </si>
  <si>
    <t>22.4.4.10</t>
  </si>
  <si>
    <t>22.4.4.11</t>
  </si>
  <si>
    <t>22.4.4.12</t>
  </si>
  <si>
    <t>22.4.5</t>
  </si>
  <si>
    <t>22.4.5.1</t>
  </si>
  <si>
    <t>22.4.5.2</t>
  </si>
  <si>
    <t>22.4.5.3</t>
  </si>
  <si>
    <t>22.4.5.4</t>
  </si>
  <si>
    <t>22.4.5.5</t>
  </si>
  <si>
    <t>22.4.5.6</t>
  </si>
  <si>
    <t>22.4.5.7</t>
  </si>
  <si>
    <t>22.4.5.8</t>
  </si>
  <si>
    <t>22.4.5.9</t>
  </si>
  <si>
    <t>22.4.5.10</t>
  </si>
  <si>
    <t>22.4.5.11</t>
  </si>
  <si>
    <t>22.4.5.12</t>
  </si>
  <si>
    <t>22.4.5.13</t>
  </si>
  <si>
    <t>22.4.5.14</t>
  </si>
  <si>
    <t>22.4.5.15</t>
  </si>
  <si>
    <t>22.4.6</t>
  </si>
  <si>
    <t>22.4.6.1</t>
  </si>
  <si>
    <t>22.4.6.2</t>
  </si>
  <si>
    <t>22.4.6.3</t>
  </si>
  <si>
    <t>22.4.6.4</t>
  </si>
  <si>
    <t>22.4.6.5</t>
  </si>
  <si>
    <t>22.4.6.6</t>
  </si>
  <si>
    <t>22.4.6.7</t>
  </si>
  <si>
    <t>22.4.6.8</t>
  </si>
  <si>
    <t>22.4.6.9</t>
  </si>
  <si>
    <t>22.4.6.10</t>
  </si>
  <si>
    <t>22.4.6.11</t>
  </si>
  <si>
    <t>22.4.6.12</t>
  </si>
  <si>
    <t>22.4.6.13</t>
  </si>
  <si>
    <t>22.4.6.14</t>
  </si>
  <si>
    <t>22.4.6.15</t>
  </si>
  <si>
    <t>22.4.7</t>
  </si>
  <si>
    <t>22.4.7.1</t>
  </si>
  <si>
    <t>22.4.7.2</t>
  </si>
  <si>
    <t>22.4.7.3</t>
  </si>
  <si>
    <t>22.4.7.4</t>
  </si>
  <si>
    <t>22.4.7.5</t>
  </si>
  <si>
    <t>22.4.7.6</t>
  </si>
  <si>
    <t>22.4.7.7</t>
  </si>
  <si>
    <t>22.4.7.8</t>
  </si>
  <si>
    <t>22.4.7.9</t>
  </si>
  <si>
    <t>22.4.7.10</t>
  </si>
  <si>
    <t>22.4.7.11</t>
  </si>
  <si>
    <t>22.5</t>
  </si>
  <si>
    <t>22.5.1</t>
  </si>
  <si>
    <t>SUBSUELO 1 y 2</t>
  </si>
  <si>
    <t>22.5.1.1</t>
  </si>
  <si>
    <t>22.5.1.2</t>
  </si>
  <si>
    <t>22.5.1.3</t>
  </si>
  <si>
    <t>22.5.1.4</t>
  </si>
  <si>
    <t>22.5.1.5</t>
  </si>
  <si>
    <t>22.5.1.6</t>
  </si>
  <si>
    <t>22.5.1.7</t>
  </si>
  <si>
    <t>22.5.1.8</t>
  </si>
  <si>
    <t>22.5.1.9</t>
  </si>
  <si>
    <t>22.5.1.10</t>
  </si>
  <si>
    <t>22.5.1.11</t>
  </si>
  <si>
    <t>22.5.1.12</t>
  </si>
  <si>
    <t>Ducha eléctrica tipo Lorenzeti de 5 niveles de temperatura</t>
  </si>
  <si>
    <t>22.5.2</t>
  </si>
  <si>
    <t>22.5.2.1</t>
  </si>
  <si>
    <t>22.5.2.2</t>
  </si>
  <si>
    <t>22.5.2.3</t>
  </si>
  <si>
    <t>22.5.2.4</t>
  </si>
  <si>
    <t>22.5.2.5</t>
  </si>
  <si>
    <t xml:space="preserve">Lavatorio con pedestal  y grifería  con válvula activada con sensor infrarrojo. </t>
  </si>
  <si>
    <t>22.5.2.6</t>
  </si>
  <si>
    <t>22.5.2.7</t>
  </si>
  <si>
    <t>22.5.2.8</t>
  </si>
  <si>
    <t>22.5.2.9</t>
  </si>
  <si>
    <t>22.5.2.10</t>
  </si>
  <si>
    <t>22.5.2.11</t>
  </si>
  <si>
    <t>22.5.2.12</t>
  </si>
  <si>
    <t>22.5.2.13</t>
  </si>
  <si>
    <t>22.5.2.14</t>
  </si>
  <si>
    <t>22.5.2.15</t>
  </si>
  <si>
    <t xml:space="preserve">Pileta de acero inoxidable con doble bacha de 50x50cm. H= 35cm. cada una. montada sobre mesadade granito natural. Sifón metálico y desengrasador </t>
  </si>
  <si>
    <t>22.5.2.16</t>
  </si>
  <si>
    <t>Grifería pico movil frio/calor</t>
  </si>
  <si>
    <t>22.6</t>
  </si>
  <si>
    <t>22.6.1</t>
  </si>
  <si>
    <t>22.6.1.1</t>
  </si>
  <si>
    <t>22.6.1.2</t>
  </si>
  <si>
    <t>Inodoro especial para Niños con certificación para el efecto. Válvula de descaga activado con sensor infrarrojo y tapa acolchada</t>
  </si>
  <si>
    <t>22.6.1.3</t>
  </si>
  <si>
    <t>22.6.1.4</t>
  </si>
  <si>
    <t>22.6.1.5</t>
  </si>
  <si>
    <t>22.6.1.6</t>
  </si>
  <si>
    <t>22.6.1.7</t>
  </si>
  <si>
    <t>22.6.1.8</t>
  </si>
  <si>
    <t>22.6.1.9</t>
  </si>
  <si>
    <t>22.6.1.10</t>
  </si>
  <si>
    <t>22.6.1.11</t>
  </si>
  <si>
    <t xml:space="preserve">Pileta de acero inoxidable con doble bacha de 50x40cm. H= 35cm. cada una. montada sobre mesadade granito natural. Sifón metálico y desengrasador </t>
  </si>
  <si>
    <t>22.6.1.12</t>
  </si>
  <si>
    <t>22.6.2</t>
  </si>
  <si>
    <t>AREA TÉCNICA Y SRVICIOS</t>
  </si>
  <si>
    <t>22.6.2.1</t>
  </si>
  <si>
    <t>22.6.2.2</t>
  </si>
  <si>
    <t>22.6.2.3</t>
  </si>
  <si>
    <t>22.6.2.4</t>
  </si>
  <si>
    <t>22.6.2.5</t>
  </si>
  <si>
    <t>22.6.2.6</t>
  </si>
  <si>
    <t>22.6.2.7</t>
  </si>
  <si>
    <t>22.6.2.8</t>
  </si>
  <si>
    <t>22.6.2.9</t>
  </si>
  <si>
    <t>23</t>
  </si>
  <si>
    <t>W</t>
  </si>
  <si>
    <t>INSTALACION DE DESAGUE PLUVIAL Y DRENAJES</t>
  </si>
  <si>
    <t>23.1</t>
  </si>
  <si>
    <t>23.1.1</t>
  </si>
  <si>
    <t>TUBERIA AGUA PLUVIALES, DE PVC REFORZADO, DIAMETRO 150MM, COLGANTE. INCLUYE CONEXIONES.</t>
  </si>
  <si>
    <t>23.1.2</t>
  </si>
  <si>
    <t>TUBERIA AGUA PLUVIALES, DE PVC REFORZADO, DIAMETRO 100MM, COLGANTE. INCLUYE CONEXIONES.</t>
  </si>
  <si>
    <t>23.1.3</t>
  </si>
  <si>
    <t>SUMINISTRO E INSTALACION DE CESTA DE FILTRO EN DESCARGA DE AGUA DE LLUVIA EN RESERVORIO 0,60X0,60X0,15 CON MALLA METALICA No 3. CON ABERTURA NOMINAL 6,97MM</t>
  </si>
  <si>
    <t>23.1.4</t>
  </si>
  <si>
    <t>SUMIDERO DE REJAS METALICA 0,90X1,50M PARA CAPTACIÓN DE AGUAS DE LLUVIA</t>
  </si>
  <si>
    <t>23.1.5</t>
  </si>
  <si>
    <t>SUMIDERO DE REJAS METALICA 0,90X0,75M PARA CAPTACIÓN DE AGUAS DE LLUVIA</t>
  </si>
  <si>
    <t>23.1.6</t>
  </si>
  <si>
    <t>REGISTROS DE INSPECCION 0,60X0,60 CON TAPAS DE HORMIGON PARA SISTEMA DE RECOLECCION DE AGUAS DE LLUVIA</t>
  </si>
  <si>
    <t>23.1.7</t>
  </si>
  <si>
    <t>REGISTROS DE INSPECCION 0,60X0,60 CON TAPAS DE HORMIGON PARA SISTEMA DE RECOLECCION DE RED DE CLOACAS</t>
  </si>
  <si>
    <t>23.1.8</t>
  </si>
  <si>
    <t>SUMINISTRO, TRANSPORTE, INSTALACIÓN DE PLACA METALICA ANTIVORTICES 0,20X0,20 . ESPESOR 1/4PULG</t>
  </si>
  <si>
    <t>23.1.9</t>
  </si>
  <si>
    <t>23.2</t>
  </si>
  <si>
    <t>AZOTEAS Y TECHOS</t>
  </si>
  <si>
    <t>23.2.1</t>
  </si>
  <si>
    <t>Provisión e instalación de boquetas de chapa con rejillas metálicas galvanizadas 40x40 en azoteas y pisos al aire libre de planta baja, según planos y especificaciones técnicas</t>
  </si>
  <si>
    <t>23.2.2</t>
  </si>
  <si>
    <t>Canaleta de chapa galvanizada N°24 de 60cm de desarrollo; soportes de planchuelas metálicas zincadas como maximo cada 1m. Cantidad y ubicación según planos</t>
  </si>
  <si>
    <t>23.2.3</t>
  </si>
  <si>
    <t>Tubo de bajada Ø150 en chapa galvanizada Nº24, según ubicación y cantidad indicada en los planos</t>
  </si>
  <si>
    <t>23.3</t>
  </si>
  <si>
    <t>CAÑERÍAS DE BAJADA</t>
  </si>
  <si>
    <t>23.3.1</t>
  </si>
  <si>
    <t>Tubería PVC Ø150 Serie R y accesorios, ubicación y cantiodad según plano</t>
  </si>
  <si>
    <t>23.3.2</t>
  </si>
  <si>
    <t>Sujeción de las bajadas a los muros</t>
  </si>
  <si>
    <t>23.3.3</t>
  </si>
  <si>
    <t xml:space="preserve">Conexión curva reforzada a 90º, en la salida de las cañerías de bajada a los registros y bloque de Hº de 60x60 cm. para empotramiento de la conexión   </t>
  </si>
  <si>
    <t>23.4</t>
  </si>
  <si>
    <t>CAÑERÍAS Y BADENES COLECTORES</t>
  </si>
  <si>
    <t>23.4.1</t>
  </si>
  <si>
    <t>Tubería PVC Ø150 Serie R, ver plano</t>
  </si>
  <si>
    <t>23.4.2</t>
  </si>
  <si>
    <t>Tubería PVC Ø100 Serie R, ver plano</t>
  </si>
  <si>
    <t>23.4.3</t>
  </si>
  <si>
    <t>Canal de HºAº bajo veredas, según planos</t>
  </si>
  <si>
    <t>23.4.4</t>
  </si>
  <si>
    <t>Badenes en cesped</t>
  </si>
  <si>
    <t>23.4.5</t>
  </si>
  <si>
    <t>REGISTROS EN CÉSPED CON TAPA DE HORMIGÓN EN CÉSPED. Todos los registros pluviales seran de hormigon armado de minimo 10cm. De espesor.</t>
  </si>
  <si>
    <t>23.4.6</t>
  </si>
  <si>
    <t>Registro pluvial de 80x80 cm con tapa de hormigón en césped</t>
  </si>
  <si>
    <t>23.4.7</t>
  </si>
  <si>
    <t>Registro pluvial de 60x60cm con tapa de hormigón en césped</t>
  </si>
  <si>
    <t>23.4.8</t>
  </si>
  <si>
    <t>Registro pluvial de 50x50cm con tapa de hormigón en césped</t>
  </si>
  <si>
    <t>23.4.9</t>
  </si>
  <si>
    <t>Registro pluvial de 40x40cm con tapa de hormigón en césped</t>
  </si>
  <si>
    <t>23.4.10</t>
  </si>
  <si>
    <t>REGISTROS CON REJILLA METÁLICA GALVANIZADA EN CÉSPED</t>
  </si>
  <si>
    <t>23.4.11</t>
  </si>
  <si>
    <t>Rejillas y sumideros detallados en los planos</t>
  </si>
  <si>
    <t>23.4.12</t>
  </si>
  <si>
    <t>REGISTROS CON TAPA DE HORMIGÓN ARMADO Y MARCOS DE METAL EN PISO DE HºAº</t>
  </si>
  <si>
    <t>23.4.13</t>
  </si>
  <si>
    <t>Registros pluviales de hormigon armado con tapa de hormigón.</t>
  </si>
  <si>
    <t>23.5</t>
  </si>
  <si>
    <t>REGISTROS CON MARCOS Y BANDEJA METÁLICA EN PISO DE GRANITO RECONSTITUIDO U HORMIGON</t>
  </si>
  <si>
    <t>23.5.1</t>
  </si>
  <si>
    <t>Registros pluviales con tapa de hormigón y bandeja para piso.</t>
  </si>
  <si>
    <t>23.6</t>
  </si>
  <si>
    <t xml:space="preserve">DRENAJES </t>
  </si>
  <si>
    <t>23.6.1</t>
  </si>
  <si>
    <t>Dren en espina de pescado, en Canteros</t>
  </si>
  <si>
    <t>23.6.2</t>
  </si>
  <si>
    <t>Dren vertical adyacente a pantalla de subsuelo. Incluye excavacion, caño perforado, manta drenante, arena y todo lo necesario según detalle.</t>
  </si>
  <si>
    <t>23.6.3</t>
  </si>
  <si>
    <t>Tuberías PVC Ø100 Serie R para conexiones al sistema de desague pluvial</t>
  </si>
  <si>
    <t>23.6.4</t>
  </si>
  <si>
    <t>Registros de inspeccion de la red de drenaje, hormigon armado espesor de pared de 15cm. Med. Minina 80x80cm. Con escalera de valillas para desenso al fondo. Tapa doble de hormigon</t>
  </si>
  <si>
    <t>23.6.5</t>
  </si>
  <si>
    <t>Sumidero de H°A° en Subsuelo</t>
  </si>
  <si>
    <t>23.6.6</t>
  </si>
  <si>
    <t>Bomba sumergible 1 para sumidero drenaje. Cap 30m3/h - Alt. 9m.</t>
  </si>
  <si>
    <t>23.6.7</t>
  </si>
  <si>
    <t>Bomba sumergible 2 para sumidero drenajes. Cap 30m3/h - Alt. 9m.</t>
  </si>
  <si>
    <t>23.6.8</t>
  </si>
  <si>
    <t>Conexión del conjunto de dos Bombas, instalacion electrica, tablero de control y cañerías de conexión desde sumidero de Subsuelo a  Registro pluvial más próximo</t>
  </si>
  <si>
    <t>24</t>
  </si>
  <si>
    <t>X</t>
  </si>
  <si>
    <t>INSTALACIÓN ELÉCTRICA</t>
  </si>
  <si>
    <t>24.1</t>
  </si>
  <si>
    <t>PUESTO DE  MEDICIÓN Y ENTREGA MEDIA TENSIÓN</t>
  </si>
  <si>
    <t>LINEA MEDIA TENSION AEREA PROTEGIDA</t>
  </si>
  <si>
    <t>24.1.1</t>
  </si>
  <si>
    <t>Conductores electricos y proteccion</t>
  </si>
  <si>
    <t>24.1.1.1</t>
  </si>
  <si>
    <t>Conductor protegido MT p/ aereo 70 mm2</t>
  </si>
  <si>
    <t>ml.</t>
  </si>
  <si>
    <t>24.1.1.2</t>
  </si>
  <si>
    <t>Cabo tipo ACSR/AW p/ mensajero 9,5 mm2</t>
  </si>
  <si>
    <t>24.1.2</t>
  </si>
  <si>
    <t xml:space="preserve">Postes Hormigon Armado </t>
  </si>
  <si>
    <t>24.1.2.1</t>
  </si>
  <si>
    <t xml:space="preserve">Postes 12/300 kgf </t>
  </si>
  <si>
    <t>un.</t>
  </si>
  <si>
    <t>24.1.2.2</t>
  </si>
  <si>
    <t>Postes 12/800 kgf</t>
  </si>
  <si>
    <t>24.1.3</t>
  </si>
  <si>
    <t>Provision de Materiales - según Tipo de Estructura</t>
  </si>
  <si>
    <t>24.1.3.1</t>
  </si>
  <si>
    <t>Provision de Todos los materiales necesarios para montaje de Estructura Protegida MT tipo EPMTH° 1A - para vanos en tangencia con brazo antibalanceo. Incluye: Soportes, Estribos, Pernos, Preformados, Guardacabos, Arandelas, Bulones, Grilletes, Conectores, Prensas, y todo lo necesario para su correcto funcionamiento.</t>
  </si>
  <si>
    <t>24.1.3.2</t>
  </si>
  <si>
    <t>Provision de Todos los materiales necesarios para montaje de Estructura Protegida MT tipo EPDSH° 1 - Montaje de estructura con Descargadores. Incluye: Soportes, Estribos, Pernos, Preformados, Guardacabos, Arandelas, Bulones, Grilletes, Conectores, Prensas, y todo lo necesario para su correcto funcionamiento.</t>
  </si>
  <si>
    <t>24.1.3.3</t>
  </si>
  <si>
    <t>Provision de Todos los materiales necesarios para montaje de Estructura Protegida MT tipo EPMTH° 4 - para vanos con deflexiones. Incluye: Soportes, Estribos, Pernos, Preformados, Guardacabos, Arandelas, Bulones, Grilletes, Conectores, Prensas, y todo lo necesario para su correcto funcionamiento.</t>
  </si>
  <si>
    <t>24.1.3.4</t>
  </si>
  <si>
    <t>Accesorios Metalicos para estructura protegida tipo EPMTH° 5 - Terminal de linea. Incluye: Soportes, Estribos, Pernos, Preformados, Guardacabos, Arandelas, Bulones, Grilletes, Conectores, Prensas, y todo lo necesario para su correcto funcionamiento.</t>
  </si>
  <si>
    <t>24.1.3.5</t>
  </si>
  <si>
    <t>Provision de Todos los materiales necesarios para montaje de Estructura Protegida MT tipo EPMTH° 7 - Derivacion. Incluye: Soportes, Estribos, Pernos, Preformados, Guardacabos, Arandelas, Bulones, Grilletes, Conectores, Prensas, y todo lo necesario para su correcto funcionamiento.</t>
  </si>
  <si>
    <t>24.1.3.6</t>
  </si>
  <si>
    <t>Provision de Todos los materiales necesarios para montaje de Estructura Protegida MT tipo EPSFTD° 1 - Seccionador fusible. Incluye: Soportes, Estribos, Pernos, Preformados, Guardacabos, Arandelas, Bulones, Grilletes, Conectores, Crucetas, y todo lo necesario para su correcto funcionamiento.</t>
  </si>
  <si>
    <t>24.1.3.7</t>
  </si>
  <si>
    <t>Provision de Todos los materiales necesarios para montaje de Estructura Protegida MT tipo EPMTED - Separadores (tipo diamante). Incluye: Soportes, Estribos, Pernos, Preformados, Guardacabos, Arandelas, Bulones, Grilletes, Conectores, Prensas, y todo lo necesario para su correcto funcionamiento.</t>
  </si>
  <si>
    <t>24.1.3.8</t>
  </si>
  <si>
    <t>Provision de Todos los materiales necesarios para el montaje de una estructura MT tipo TSA 50 - Estructura Protegida de Transicion Aereo-Subterraneo con Seccionador Fusible y descargadores p/cable protegido - Caño de acero galvanizado de 5''x6mmx6mts. (incluye mufas, crucetas y aisladores) y todo lo necesario para su correcto funcionamiento.</t>
  </si>
  <si>
    <t>24.1.4</t>
  </si>
  <si>
    <t>Accesorios polimericos</t>
  </si>
  <si>
    <t>24.1.4.1</t>
  </si>
  <si>
    <t>Percha separadora tipo diamante c/ grapas</t>
  </si>
  <si>
    <t>24.1.4.2</t>
  </si>
  <si>
    <t>Mensula anti-balanceo</t>
  </si>
  <si>
    <t>24.1.4.3</t>
  </si>
  <si>
    <t>Aislador Perno Recto Polimerico MT EP</t>
  </si>
  <si>
    <t>24.1.4.4</t>
  </si>
  <si>
    <t>Aislador Polimerico de Retención EP MT</t>
  </si>
  <si>
    <t>24.1.5</t>
  </si>
  <si>
    <t>Mano de obra</t>
  </si>
  <si>
    <t>24.1.5.1</t>
  </si>
  <si>
    <t>Excavacion, ereccion y cimentacion reforzada tipo II, poste H°A° de 12/800 kgf. Todo tipo de terreno.</t>
  </si>
  <si>
    <t>24.1.5.2</t>
  </si>
  <si>
    <t>Excavacion, ereccion y cimentacion reforzada tipo II, poste H°A° de 12/300 kgf. Todo tipo de terreno.</t>
  </si>
  <si>
    <t>24.1.5.3</t>
  </si>
  <si>
    <t xml:space="preserve">Tendido y retención de cabo de acero mensajero (incluye el flechado).
</t>
  </si>
  <si>
    <t>24.1.5.4</t>
  </si>
  <si>
    <t>Tendido y retención conductores protegidos de fase MT de 70 mm² (incluye el flechado).</t>
  </si>
  <si>
    <t>24.1.5.5</t>
  </si>
  <si>
    <t xml:space="preserve">Montaje de Aterramiento para Cabo de Acero del tendido Electrico Aereo Protegido (incluye jabalinas y soldadura exotermica). </t>
  </si>
  <si>
    <t>24.1.5.6</t>
  </si>
  <si>
    <t>Montaje de estructura protegida tipo EP MTH°1A - para vanos en tangencia con brazo antibalanceo.</t>
  </si>
  <si>
    <t>24.1.5.7</t>
  </si>
  <si>
    <t>Montaje de estructura protegida tipo EPDSH 1 - Montaje de estructura con descargadores y Puesta a Tierra</t>
  </si>
  <si>
    <t>24.1.5.8</t>
  </si>
  <si>
    <t xml:space="preserve">Montaje de estructura protegida tipo EPMTH° 4 - para vanos con deflexiones. </t>
  </si>
  <si>
    <t>24.1.5.9</t>
  </si>
  <si>
    <t>Montaje de estructura protegida tipo EPMTH°5 - Terminal de linea</t>
  </si>
  <si>
    <t>24.1.5.10</t>
  </si>
  <si>
    <t>Montaje de estructura protegida tipo EPMTH° 7 - Derivacion</t>
  </si>
  <si>
    <t>24.1.5.11</t>
  </si>
  <si>
    <t>Montaje de estructura protegida tipo EPSFTD° 1 - Seccionador fusible</t>
  </si>
  <si>
    <t>24.1.5.12</t>
  </si>
  <si>
    <t>Montaje de Separadores (tipo diamante) a lo largo del trazado de la Linea Aerea Protegida.</t>
  </si>
  <si>
    <t>24.1.5.13</t>
  </si>
  <si>
    <t>Montaje de Estructura Protegida TSA 50, de Transicion Aereo-Subterraneo con Seccionador Fusible y descargadores p/cable protegido - Poste H°A° - Caño de acero galv. De 5''x6mmx6m  (incluye mufas, crucetas y aisladores).</t>
  </si>
  <si>
    <t>LINEA MEDIA TENSION SUBTERRANEA</t>
  </si>
  <si>
    <t>24.1.6</t>
  </si>
  <si>
    <t>24.1.6.1</t>
  </si>
  <si>
    <t>Cable de Cu desnudo de 35 mm2</t>
  </si>
  <si>
    <t>24.1.6.2</t>
  </si>
  <si>
    <t>Cable de Al aislado subterráneo de 240 mm2 MT</t>
  </si>
  <si>
    <t>24.1.7</t>
  </si>
  <si>
    <t>Accesorios varios y otros materiales</t>
  </si>
  <si>
    <t>24.1.7.1</t>
  </si>
  <si>
    <t>Piedra triturada</t>
  </si>
  <si>
    <t>24.1.7.2</t>
  </si>
  <si>
    <t>Caño de polietileno tipo PEAD y accesorios p/ conductor de M.T (cruce de calles)</t>
  </si>
  <si>
    <t>24.1.7.3</t>
  </si>
  <si>
    <t>Arena lavada de protección p/ líneas subterráneas.</t>
  </si>
  <si>
    <t>m3.</t>
  </si>
  <si>
    <t>24.1.7.4</t>
  </si>
  <si>
    <t>Losetas para  protección mecánica (losetas de H°A°) p/ líneas subterráneas, 0,30 x 0,5 x 0,05 m.</t>
  </si>
  <si>
    <t>24.1.7.5</t>
  </si>
  <si>
    <t>Materiales varios para reparaciones de veredas</t>
  </si>
  <si>
    <t>24.1.7.6</t>
  </si>
  <si>
    <t>Materiales varios para repraciones de calles empedradas o asfaltadas</t>
  </si>
  <si>
    <t>24.1.8</t>
  </si>
  <si>
    <t>24.1.8.1</t>
  </si>
  <si>
    <t>Excavación de zanja en vereda, posterior relleno y compactación 0,60 x 1,20 m. Todo tipo de terreno. Incluye provisión de cinta de señalización.</t>
  </si>
  <si>
    <t>24.1.8.2</t>
  </si>
  <si>
    <t>Excavación de zanja en calzada o pavimento, posterior relleno y compactación 0,60 x 1,40 m. Todo tipo de terreno.</t>
  </si>
  <si>
    <t>24.1.8.3</t>
  </si>
  <si>
    <t>Colocación de colchón de arena de protección p/ líneas subterráneas.</t>
  </si>
  <si>
    <t>24.1.8.4</t>
  </si>
  <si>
    <t>Colocación de  protección mecánica (losetas de H°A°) p/ líneas subterráneas, 0,30 x 0,5 x 0,05 m.</t>
  </si>
  <si>
    <t>24.1.8.5</t>
  </si>
  <si>
    <t>Tendido de conductor unipolar subterráneo 1x50mm².</t>
  </si>
  <si>
    <t>24.1.8.6</t>
  </si>
  <si>
    <t>Construcción de registro p/lineas subterraneas c/paredes de 0,30 m (de mampostería) de 1,2m (largo) x1,2m (ancho) x1,2m (profundidad), con revoque interior, base de 10 cm de piedra triturada, entrada de caños, con tapas de H°A° de 1,15 x 0,35 x 0,1 m, con bordes de hierro perfil "L" y 2 manijas de asas retráctiles cada una. Todos los materiales incluídos.</t>
  </si>
  <si>
    <t>24.1.8.7</t>
  </si>
  <si>
    <t>Reparaciones de veredas.</t>
  </si>
  <si>
    <t>24.1.8.8</t>
  </si>
  <si>
    <t>Repraciones de calles empedradas o asfaltadas</t>
  </si>
  <si>
    <t>OTROS ARANCELES Y PAGOS A LA ANDE</t>
  </si>
  <si>
    <t>24.1.9</t>
  </si>
  <si>
    <t>Arancel previo al inicio de las obras electromecanicas</t>
  </si>
  <si>
    <t>24.1.9.1</t>
  </si>
  <si>
    <t>Gestion de documentacion para la aprobacion del proyecto ANDE, Provision de Medidor ANDE con su respectivo Puesto de Medicion y probable pago de Refuerzo de Linea MT.</t>
  </si>
  <si>
    <t>24.1.10</t>
  </si>
  <si>
    <t>Trabajos preliminares y movilización.</t>
  </si>
  <si>
    <t>24.1.10.1</t>
  </si>
  <si>
    <t>Movilizaciones de la contratista, oficina, replanteos, etc. Trabajos descritos en las especificaciones tecnicas.</t>
  </si>
  <si>
    <t>24.2</t>
  </si>
  <si>
    <t>PUESTO DE DISTRIBUCIÓN Y TRANSFORMACIÓN</t>
  </si>
  <si>
    <t>CELDA DE DISTRIBUCION Y UNIDAD DE TRANSFORMACION</t>
  </si>
  <si>
    <t>24.2.1</t>
  </si>
  <si>
    <t xml:space="preserve">Celda de distrubucion secundaria. </t>
  </si>
  <si>
    <t>24.2.1.1</t>
  </si>
  <si>
    <t xml:space="preserve">Provision y montaje de Celda de distribucion secundaria de media tension aislada al aire. Incluye, accesorios para correcto funcionamiento, puesta en servicio, ensayos calibraciones y conexionado de conductor de media tension 50 mm2    </t>
  </si>
  <si>
    <t>24.2.2</t>
  </si>
  <si>
    <t xml:space="preserve">Transformador 1500 KVA </t>
  </si>
  <si>
    <t>24.2.2.1</t>
  </si>
  <si>
    <t xml:space="preserve">Provision y montaje de Transformador convencional 1500 KVA - 23/0,38 -0,22KV, incluye accesorios de conexionado en baja y media tension, barras de cobre, terminal ojal, tubular, bulones, para correcto funcionamiento, puesta en servicio, ensayos, calibraciones, puesta a tierra de la carcaza.  </t>
  </si>
  <si>
    <t>24.2.2.2</t>
  </si>
  <si>
    <t xml:space="preserve">Provision y conexionado de Conductor de Cu.- Aislación 25 KV - 50 mm2 desde Celda de distribucion a unidad de transformacion. </t>
  </si>
  <si>
    <t>24.2.2.3</t>
  </si>
  <si>
    <t>Provisión y montaje de grampa polimérica 26-50 mm para sujeción de conductores de media tensión de 50 mm2 con soportes y materiales menores.</t>
  </si>
  <si>
    <t>24.3</t>
  </si>
  <si>
    <t>TABLEROS ELÉCTRICOS Y ALIMENTADORES</t>
  </si>
  <si>
    <t>24.3.1</t>
  </si>
  <si>
    <t>TABLEROS Y ALIMENTADORES</t>
  </si>
  <si>
    <t>24.3.1.1</t>
  </si>
  <si>
    <t xml:space="preserve">Tablero General Normal/Emergencia  - TGNE - (Provision y montaje de los componentes citados mas abajo incluidos los materiales necesarios.  </t>
  </si>
  <si>
    <t>24.3.1.2</t>
  </si>
  <si>
    <t xml:space="preserve">Tablero metálico de Adosar Protocolizado LxAxh 2500A Nomal - 1000A Emergencia. Incluye, juego de barras de cobre RST-N+T Normal y Emergencia, Banco de Capacitores, accesorios de montaje para correcto funcionamiento. </t>
  </si>
  <si>
    <t>24.3.1.3</t>
  </si>
  <si>
    <t xml:space="preserve">Alimentador del Transformador a TGN  XLPE 4x(2x1x300) mm2 + 1x50 mm2 </t>
  </si>
  <si>
    <t>24.3.1.4</t>
  </si>
  <si>
    <t xml:space="preserve">Alimentador del TGN al Tablero de transferencia TTA   XLPE 4x(2x1x240) mm2 + 1x50 mm2 </t>
  </si>
  <si>
    <t>24.3.1.5</t>
  </si>
  <si>
    <t xml:space="preserve">Alimentador del Generador al Tablero de transferencia TTA   XLPE 4x(2x1x240) mm2 + 1x50 mm2 </t>
  </si>
  <si>
    <t>24.3.1.6</t>
  </si>
  <si>
    <t xml:space="preserve">Alimentador del Tablero de Transferencia al TGE   XLPE 4x(2x1x240) mm2 + 1x50 mm2 </t>
  </si>
  <si>
    <t>24.3.1.7</t>
  </si>
  <si>
    <t>Interruptor Termomagnetico 3x2500 A - Normal</t>
  </si>
  <si>
    <t>24.3.1.8</t>
  </si>
  <si>
    <t xml:space="preserve">Interruptor Termomagnetico 3x1000 A - Emergencia </t>
  </si>
  <si>
    <t>24.3.1.9</t>
  </si>
  <si>
    <t>Proteccion contra transitorios - Normal</t>
  </si>
  <si>
    <t>24.3.1.10</t>
  </si>
  <si>
    <t xml:space="preserve">Proteccion contra transitorios - Emergencia </t>
  </si>
  <si>
    <t>24.3.1.11</t>
  </si>
  <si>
    <t>Interruptores termomagnetico Tripolar 3x1000 A</t>
  </si>
  <si>
    <t>24.3.1.12</t>
  </si>
  <si>
    <t>Interruptores termomagnetico Tripolar 3x200 A</t>
  </si>
  <si>
    <t>24.3.1.13</t>
  </si>
  <si>
    <t>Interruptores termomagnetico  Tripolar 3x150 A</t>
  </si>
  <si>
    <t>24.3.1.14</t>
  </si>
  <si>
    <t>Interruptores termomagnetico Tripolar 3x63 A</t>
  </si>
  <si>
    <t>24.3.1.15</t>
  </si>
  <si>
    <t>Interruptores termomagnetico  Tripolar 3x50 A</t>
  </si>
  <si>
    <t>24.3.1.16</t>
  </si>
  <si>
    <t>Interruptores termomagnetico Tripolar 3x40 A</t>
  </si>
  <si>
    <t>24.3.1.17</t>
  </si>
  <si>
    <t>Interruptores termomagnetico Tripolar 3x32 A</t>
  </si>
  <si>
    <t>24.3.1.18</t>
  </si>
  <si>
    <t>Interruptores termomagnetico Tripolar 3x20 A</t>
  </si>
  <si>
    <t>24.3.2</t>
  </si>
  <si>
    <t>BANCO DE CAPACITORES BC - 250 Kvar</t>
  </si>
  <si>
    <t>24.3.2.1</t>
  </si>
  <si>
    <t>Conductor XLPE 3x1x150 mm2</t>
  </si>
  <si>
    <t>24.3.2.2</t>
  </si>
  <si>
    <t>Interruptores termomagnetico Tripolar 3x400 A</t>
  </si>
  <si>
    <t>24.3.2.3</t>
  </si>
  <si>
    <t xml:space="preserve">Regulador Varmetrico 12 etapas </t>
  </si>
  <si>
    <t>24.3.2.4</t>
  </si>
  <si>
    <t>Disyuntor 3X40 A.</t>
  </si>
  <si>
    <t>24.3.2.5</t>
  </si>
  <si>
    <t xml:space="preserve">Contactor para capacitor  20 kVAr </t>
  </si>
  <si>
    <t>24.3.2.6</t>
  </si>
  <si>
    <t xml:space="preserve">Capacitor 40 kVAr trifasico </t>
  </si>
  <si>
    <t>24.3.2.7</t>
  </si>
  <si>
    <t xml:space="preserve">Capacitor 20 kVAr trifasico </t>
  </si>
  <si>
    <t>24.3.2.8</t>
  </si>
  <si>
    <t xml:space="preserve">Capacitor 10 kVAr trifasico </t>
  </si>
  <si>
    <t>24.3.2.9</t>
  </si>
  <si>
    <t xml:space="preserve">Capacitor 5 kVAr trifasico </t>
  </si>
  <si>
    <t>24.3.3</t>
  </si>
  <si>
    <t>TABLERO PRINCIPAL NORMAL/EMERGENCIA TORRE -  TPNE T
(Provision y montaje de los componentes citados mas abajo incluidos los materiales necesarios).</t>
  </si>
  <si>
    <t>24.3.3.1</t>
  </si>
  <si>
    <t xml:space="preserve">Tablero metálico de Adosar Protocolizado LxAxh 1250A Nomal - 630A Emergencia. Incluye, juego de barras de cobre RST-N+T Normal y Emergencia, accesorios de montaje para correcto funcionamiento.  </t>
  </si>
  <si>
    <t>24.3.3.2</t>
  </si>
  <si>
    <t xml:space="preserve">Alimentador desde el TGN al TPN T con conductor XLPE 4x(3x1x240) mm2 + 1x70 mm2 </t>
  </si>
  <si>
    <t>24.3.3.3</t>
  </si>
  <si>
    <t>Alimentador desde el TGE al TPE T con conductor XLPE 4x(2x1x185) mm2 + 1x50 mm2</t>
  </si>
  <si>
    <t>24.3.3.4</t>
  </si>
  <si>
    <t>Interruptor Termomagnetico 3x1000 A - Normal</t>
  </si>
  <si>
    <t>24.3.3.5</t>
  </si>
  <si>
    <t xml:space="preserve">Interruptor Termomagnetico 3x630 A - Emergencia </t>
  </si>
  <si>
    <t>24.3.3.6</t>
  </si>
  <si>
    <t>24.3.3.7</t>
  </si>
  <si>
    <t>24.3.3.8</t>
  </si>
  <si>
    <t>Interruptores termomagnetico Tripolar 3x250 A</t>
  </si>
  <si>
    <t>24.3.3.9</t>
  </si>
  <si>
    <t>24.3.3.10</t>
  </si>
  <si>
    <t>Interruptores termomagnetico  Tripolar 3x160 A</t>
  </si>
  <si>
    <t>24.3.3.11</t>
  </si>
  <si>
    <t>24.3.3.12</t>
  </si>
  <si>
    <t>Interruptores termomagnetico Tripolar 3x125 A</t>
  </si>
  <si>
    <t>24.3.3.13</t>
  </si>
  <si>
    <t>Interruptores termomagnetico Tripolar 3x100 A</t>
  </si>
  <si>
    <t>24.3.3.14</t>
  </si>
  <si>
    <t>Interruptores termomagnetico  Tripolar 3x80 A</t>
  </si>
  <si>
    <t>24.3.3.15</t>
  </si>
  <si>
    <t>24.3.3.16</t>
  </si>
  <si>
    <t>24.3.3.17</t>
  </si>
  <si>
    <t>24.3.3.18</t>
  </si>
  <si>
    <t>24.3.3.19</t>
  </si>
  <si>
    <t>Interruptores termomagnetico Tripolar 3x25 A</t>
  </si>
  <si>
    <t>24.3.3.20</t>
  </si>
  <si>
    <t>24.3.4</t>
  </si>
  <si>
    <t>TABLERO SECCIONAL NORMAL/EMERGENCIA SUBSUELO 2 - TSNE SS2 
(Provision y montaje de los componentes citados mas abajo incluidos los materiales necesarios).</t>
  </si>
  <si>
    <t>24.3.4.1</t>
  </si>
  <si>
    <t xml:space="preserve">Tablero metálico de Adosar Protocolizado LxAxh 40A Nomal - 25A Emergencia. Incluye, juego de barras de cobre RST-N+T Normal y Emergencia, accesorios de montaje para correcto funcionamiento.  </t>
  </si>
  <si>
    <t>24.3.4.2</t>
  </si>
  <si>
    <t xml:space="preserve">Alimentador desde el TPN T al TSN SS2 con conductor XLPE 4x10 mm2 + 1x10 mm2 </t>
  </si>
  <si>
    <t>24.3.4.3</t>
  </si>
  <si>
    <t>Alimentador desde el TPE T al TSE SS2 con conductor XLPE 4x4 mm2 + 1x4 mm2</t>
  </si>
  <si>
    <t>24.3.4.4</t>
  </si>
  <si>
    <t>Interruptor Termomagnetico 3x40 A - Normal</t>
  </si>
  <si>
    <t>24.3.4.5</t>
  </si>
  <si>
    <t xml:space="preserve">Interruptor Termomagnetico 3x25 A - Emergencia </t>
  </si>
  <si>
    <t>24.3.4.6</t>
  </si>
  <si>
    <t>24.3.4.7</t>
  </si>
  <si>
    <t>24.3.4.8</t>
  </si>
  <si>
    <t>Interruptor diferencial tetrapolar 4x40 A</t>
  </si>
  <si>
    <t>24.3.4.9</t>
  </si>
  <si>
    <t>Interruptores termomagnetico Monopolar 1x25 A</t>
  </si>
  <si>
    <t>24.3.4.10</t>
  </si>
  <si>
    <t>Interruptores termomagnetico Monopolar 1x16 A</t>
  </si>
  <si>
    <t>24.3.4.11</t>
  </si>
  <si>
    <t>Interruptores termomagnetico Monopolar 1x10 A</t>
  </si>
  <si>
    <t>24.3.5</t>
  </si>
  <si>
    <t>TABLERO SECCIONAL NORMAL/EMERGENCIA SUBSUELO 1 - TSNE SS1 
(Provision y montaje de los componentes citados mas abajo incluidos los materiales necesarios).</t>
  </si>
  <si>
    <t>24.3.5.1</t>
  </si>
  <si>
    <t xml:space="preserve">Tablero metálico de Adosar Protocolizado LxAxh 250A Nomal - 150A Emergencia. Incluye, juego de barras de cobre RST-N+T Normal y Emergencia, accesorios de montaje para correcto funcionamiento.  </t>
  </si>
  <si>
    <t>24.3.5.2</t>
  </si>
  <si>
    <t xml:space="preserve">Alimentador desde el TPN T al TSN 4P con conductor XLPE 4x1x95 mm2 + 1x50 mm2 </t>
  </si>
  <si>
    <t>24.3.5.3</t>
  </si>
  <si>
    <t>Alimentador desde el TPE T al TSE SS1 con conductor XLPE 4x1x50mm2 + 1x25 mm2</t>
  </si>
  <si>
    <t>24.3.5.4</t>
  </si>
  <si>
    <t>Interruptor Termomagnetico 3x250 A - Normal</t>
  </si>
  <si>
    <t>24.3.5.5</t>
  </si>
  <si>
    <t xml:space="preserve">Interruptor Termomagnetico 3x150 A - Emergencia </t>
  </si>
  <si>
    <t>24.3.5.6</t>
  </si>
  <si>
    <t>24.3.5.7</t>
  </si>
  <si>
    <t>24.3.5.8</t>
  </si>
  <si>
    <t>24.3.5.9</t>
  </si>
  <si>
    <t>Interruptores termomagnetico Monopolar 1x32 A</t>
  </si>
  <si>
    <t>24.3.5.10</t>
  </si>
  <si>
    <t>24.3.5.11</t>
  </si>
  <si>
    <t>24.3.5.12</t>
  </si>
  <si>
    <t>24.3.6</t>
  </si>
  <si>
    <t>TABLERO SECCIONAL NORMAL/EMERGENCIA GUARDERIA - TSNE GU
(Provision y montaje de los componentes citados mas abajo incluidos los materiales necesarios).</t>
  </si>
  <si>
    <t>24.3.6.1</t>
  </si>
  <si>
    <t xml:space="preserve">Tablero metálico de Adosar Protocolizado LxAxh 63A Nomal - 20A Emergencia. Incluye, juego de barras de cobre RST-N+T Normal y Emergencia, accesorios de montaje para correcto funcionamiento.  </t>
  </si>
  <si>
    <t>24.3.6.2</t>
  </si>
  <si>
    <t xml:space="preserve">Alimentador desde el TPN T al TSN GU con conductor XLPE 4x16 mm2 + 1x16 mm2 </t>
  </si>
  <si>
    <t>24.3.6.3</t>
  </si>
  <si>
    <t>Alimentador desde el TPE T al TSE GU con conductor XLPE 4x4 mm2 + 1x4 mm2</t>
  </si>
  <si>
    <t>24.3.6.4</t>
  </si>
  <si>
    <t>Interruptor Termomagnetico 3x63 A - Normal</t>
  </si>
  <si>
    <t>24.3.6.5</t>
  </si>
  <si>
    <t xml:space="preserve">Interruptor Termomagnetico 3x20 A - Emergencia </t>
  </si>
  <si>
    <t>24.3.6.6</t>
  </si>
  <si>
    <t>24.3.6.7</t>
  </si>
  <si>
    <t>24.3.6.8</t>
  </si>
  <si>
    <t>Interruptor diferencial tetrapolar 4x25 A</t>
  </si>
  <si>
    <t>24.3.6.9</t>
  </si>
  <si>
    <t>Interruptores termomagnetico Tripolar 3x16 A</t>
  </si>
  <si>
    <t>24.3.6.10</t>
  </si>
  <si>
    <t>24.3.6.11</t>
  </si>
  <si>
    <t>24.3.6.12</t>
  </si>
  <si>
    <t>24.3.6.13</t>
  </si>
  <si>
    <t>24.3.7</t>
  </si>
  <si>
    <t>TABLERO SECCIONAL NORMAL/EMERGENCIA PLANTA BAJA - TSNE PB 
(Provision y montaje de los componentes citados mas abajo incluidos los materiales necesarios).</t>
  </si>
  <si>
    <t>24.3.7.1</t>
  </si>
  <si>
    <t xml:space="preserve">Tablero metálico de Adosar Protocolizado LxAxh 200A Nomal - 63A Emergencia. Incluye, juego de barras de cobre RST-N+T Normal y Emergencia, accesorios de montaje para correcto funcionamiento.  </t>
  </si>
  <si>
    <t>24.3.7.2</t>
  </si>
  <si>
    <t xml:space="preserve">Alimentador desde el TPN T al TSN 4P con conductor XLPE 4x1x70 mm2 + 1x35 mm2 </t>
  </si>
  <si>
    <t>24.3.7.3</t>
  </si>
  <si>
    <t>Alimentador desde el TPE T al TSE PB con conductor XLPE 4x16 mm2 + 1x16 mm2</t>
  </si>
  <si>
    <t>24.3.7.4</t>
  </si>
  <si>
    <t>Interruptor Termomagnetico 3x200 A - Normal</t>
  </si>
  <si>
    <t>24.3.7.5</t>
  </si>
  <si>
    <t xml:space="preserve">Interruptor Termomagnetico 3x63 A - Emergencia </t>
  </si>
  <si>
    <t>24.3.7.6</t>
  </si>
  <si>
    <t>24.3.7.7</t>
  </si>
  <si>
    <t>24.3.7.8</t>
  </si>
  <si>
    <t>24.3.7.9</t>
  </si>
  <si>
    <t>24.3.7.10</t>
  </si>
  <si>
    <t>24.3.7.11</t>
  </si>
  <si>
    <t>24.3.7.12</t>
  </si>
  <si>
    <t>24.3.8</t>
  </si>
  <si>
    <t>TABLERO SECCIONAL NORMAL/EMERGENCIA PRIMER PISO - TSNE 1P 
(Provision y montaje de los componentes citados mas abajo incluidos los materiales necesarios).</t>
  </si>
  <si>
    <t>24.3.8.1</t>
  </si>
  <si>
    <t xml:space="preserve">Tablero metálico de Adosar Protocolizado LxAxh 150A Nomal - 100A Emergencia. Incluye, juego de barras de cobre RST-N+T Normal y Emergencia, accesorios de montaje para correcto funcionamiento.  </t>
  </si>
  <si>
    <t>24.3.8.2</t>
  </si>
  <si>
    <t xml:space="preserve">Alimentador desde el TPN T al TSN 4P con conductor XLPE 4x1x50 mm2 + 1x25 mm2 </t>
  </si>
  <si>
    <t>24.3.8.3</t>
  </si>
  <si>
    <t>Alimentador desde el TPE T al TSE 1P con conductor XLPE 4x1x25 mm2 + 1x16 mm2</t>
  </si>
  <si>
    <t>24.3.8.4</t>
  </si>
  <si>
    <t>Interruptor Termomagnetico 3x150 A - Normal</t>
  </si>
  <si>
    <t>24.3.8.5</t>
  </si>
  <si>
    <t xml:space="preserve">Interruptor Termomagnetico 3x100 A - Emergencia </t>
  </si>
  <si>
    <t>24.3.8.6</t>
  </si>
  <si>
    <t>24.3.8.7</t>
  </si>
  <si>
    <t>24.3.8.8</t>
  </si>
  <si>
    <t>24.3.8.9</t>
  </si>
  <si>
    <t>24.3.8.10</t>
  </si>
  <si>
    <t>24.3.8.11</t>
  </si>
  <si>
    <t>24.3.8.12</t>
  </si>
  <si>
    <t>24.3.9</t>
  </si>
  <si>
    <t xml:space="preserve">TABLERO SECCIONAL NORMAL/EMERGENCIA SEGUNDO PISO - TSNE 2P 
(Provision y montaje de los componentes citados mas abajo incluidos los materiales necesarios.  </t>
  </si>
  <si>
    <t>24.3.9.1</t>
  </si>
  <si>
    <t>24.3.9.2</t>
  </si>
  <si>
    <t xml:space="preserve">Alimentador desde el TPN T al TSN 4P con conductor XLPE 4x1x50 mm2 + 1x50 mm2 </t>
  </si>
  <si>
    <t>24.3.9.3</t>
  </si>
  <si>
    <t>Alimentador desde el TPE T al TSE 2P con conductor XLPE 4x1x25 mm2 + 1x16 mm2</t>
  </si>
  <si>
    <t>24.3.9.4</t>
  </si>
  <si>
    <t>24.3.9.5</t>
  </si>
  <si>
    <t>24.3.9.6</t>
  </si>
  <si>
    <t>24.3.9.7</t>
  </si>
  <si>
    <t>24.3.9.8</t>
  </si>
  <si>
    <t>24.3.9.9</t>
  </si>
  <si>
    <t>24.3.9.10</t>
  </si>
  <si>
    <t>24.3.9.11</t>
  </si>
  <si>
    <t>24.3.10</t>
  </si>
  <si>
    <t>TABLERO SECCIONAL NORMAL/EMERGENCIA TERCER PISO - TSNE 3P 
(Provision y montaje de los componentes citados mas abajo incluidos los materiales necesarios).</t>
  </si>
  <si>
    <t>24.3.10.1</t>
  </si>
  <si>
    <t xml:space="preserve">Tablero metálico de Adosar Protocolizado LxAxh 150A Nomal - 80A Emergencia. Incluye, juego de barras de cobre RST-N+T Normal y Emergencia, accesorios de montaje para correcto funcionamiento.  </t>
  </si>
  <si>
    <t>24.3.10.2</t>
  </si>
  <si>
    <t>24.3.10.3</t>
  </si>
  <si>
    <t>Alimentador desde el TPE T al TSE 3P con conductor XLPE 4x16 mm2 + 1x16 mm2</t>
  </si>
  <si>
    <t>24.3.10.4</t>
  </si>
  <si>
    <t>24.3.10.5</t>
  </si>
  <si>
    <t xml:space="preserve">Interruptor Termomagnetico 3x80 A - Emergencia </t>
  </si>
  <si>
    <t>24.3.10.6</t>
  </si>
  <si>
    <t>24.3.10.7</t>
  </si>
  <si>
    <t>24.3.10.8</t>
  </si>
  <si>
    <t>24.3.10.9</t>
  </si>
  <si>
    <t>24.3.10.10</t>
  </si>
  <si>
    <t>24.3.10.11</t>
  </si>
  <si>
    <t>24.3.11</t>
  </si>
  <si>
    <t>TABLERO SECCIONAL NORMAL/EMERGENCIA CUARTO PISO - TSNE 4P 
(Provision y montaje de los componentes citados mas abajo incluidos los materiales necesarios).</t>
  </si>
  <si>
    <t>24.3.11.1</t>
  </si>
  <si>
    <t xml:space="preserve">Tablero metálico de Adosar Protocolizado LxAxh 125A Nomal - 50A Emergencia. Incluye, juego de barras de cobre RST-N+T Normal y Emergencia, accesorios de montaje para correcto funcionamiento.  </t>
  </si>
  <si>
    <t>24.3.11.2</t>
  </si>
  <si>
    <t xml:space="preserve">Alimentador desde el TPN T al TSN 4P con conductor XLPE 4x1x35 mm2 + 1x16 mm2 </t>
  </si>
  <si>
    <t>24.3.11.3</t>
  </si>
  <si>
    <t>Alimentador desde el TPE T al TSE 4P con conductor XLPE 4x10 mm2 + 1x10 mm2</t>
  </si>
  <si>
    <t>24.3.11.4</t>
  </si>
  <si>
    <t>Interruptor Termomagnetico 3x125 A - Normal</t>
  </si>
  <si>
    <t>24.3.11.5</t>
  </si>
  <si>
    <t xml:space="preserve">Interruptor Termomagnetico 3x50 A - Emergencia </t>
  </si>
  <si>
    <t>24.3.11.6</t>
  </si>
  <si>
    <t>24.3.11.7</t>
  </si>
  <si>
    <t>24.3.11.8</t>
  </si>
  <si>
    <t>24.3.11.9</t>
  </si>
  <si>
    <t>24.3.11.10</t>
  </si>
  <si>
    <t>24.3.11.11</t>
  </si>
  <si>
    <t>24.3.11.12</t>
  </si>
  <si>
    <t>24.3.12</t>
  </si>
  <si>
    <t>TABLERO SECCIONAL NORMAL/EMERGENCIA QUINTO PISO - TSNE 5P 
(Provision y montaje de los componentes citados mas abajo incluidos los materiales necesarios).</t>
  </si>
  <si>
    <t>24.3.12.1</t>
  </si>
  <si>
    <t xml:space="preserve">Tablero metálico de Adosar Protocolizado LxAxh 100A Nomal - 40A Emergencia. Incluye, juego de barras de cobre RST-N+T Normal y Emergencia, accesorios de montaje para correcto funcionamiento.  </t>
  </si>
  <si>
    <t>24.3.12.2</t>
  </si>
  <si>
    <t xml:space="preserve">Alimentador desde el TPN T al TSN 5P con conductor XLPE 4x1x25 mm2 + 1x16 mm2 </t>
  </si>
  <si>
    <t>24.3.12.3</t>
  </si>
  <si>
    <t>Alimentador desde el TPE T al TSE 5P con conductor XLPE 4x10 mm2 + 1x10 mm2</t>
  </si>
  <si>
    <t>24.3.12.4</t>
  </si>
  <si>
    <t>Interruptor Termomagnetico 3x100 A - Normal</t>
  </si>
  <si>
    <t>24.3.12.5</t>
  </si>
  <si>
    <t xml:space="preserve">Interruptor Termomagnetico 3x40 A - Emergencia </t>
  </si>
  <si>
    <t>24.3.12.6</t>
  </si>
  <si>
    <t>24.3.12.7</t>
  </si>
  <si>
    <t>24.3.12.8</t>
  </si>
  <si>
    <t>24.3.12.9</t>
  </si>
  <si>
    <t>24.3.12.10</t>
  </si>
  <si>
    <t>24.3.12.11</t>
  </si>
  <si>
    <t>24.3.12.12</t>
  </si>
  <si>
    <t>24.3.13</t>
  </si>
  <si>
    <t>TABLERO SECCIONAL NORMAL/EMERGENCIA AZOTEA - TSNE Az 
(Provision y montaje de los componentes citados mas abajo incluidos los materiales necesarios).</t>
  </si>
  <si>
    <t>24.3.13.1</t>
  </si>
  <si>
    <t xml:space="preserve">Tablero metálico de Adosar Protocolizado LxAxh 50A Nomal - 32A Emergencia. Incluye, juego de barras de cobre RST-N+T Normal y Emergencia, accesorios de montaje para correcto funcionamiento.  </t>
  </si>
  <si>
    <t>24.3.13.2</t>
  </si>
  <si>
    <t xml:space="preserve">Alimentador desde el TPN T al TSN Az con conductor XLPE 4x10 mm2 + 1x10 mm2 </t>
  </si>
  <si>
    <t>24.3.13.3</t>
  </si>
  <si>
    <t>Alimentador desde el TPE T al TSE Az con conductor XLPE 4x6 mm2 + 1x6 mm2</t>
  </si>
  <si>
    <t>24.3.13.4</t>
  </si>
  <si>
    <t>Interruptor Termomagnetico 3x50 A - Normal</t>
  </si>
  <si>
    <t>24.3.13.5</t>
  </si>
  <si>
    <t xml:space="preserve">Interruptor Termomagnetico 3x32 A - Emergencia </t>
  </si>
  <si>
    <t>24.3.13.6</t>
  </si>
  <si>
    <t>24.3.13.7</t>
  </si>
  <si>
    <t>24.3.13.8</t>
  </si>
  <si>
    <t>24.3.13.9</t>
  </si>
  <si>
    <t>24.3.13.10</t>
  </si>
  <si>
    <t>24.3.13.11</t>
  </si>
  <si>
    <t>24.3.13.12</t>
  </si>
  <si>
    <t>24.3.14</t>
  </si>
  <si>
    <t>TABLERO SECCIONAL EMERGENCIA ASCENSORES - TSE Asc 
(Provision y montaje de los componentes citados mas abajo incluidos los materiales necesarios).</t>
  </si>
  <si>
    <t>24.3.14.1</t>
  </si>
  <si>
    <t xml:space="preserve">Tablero metálico de Adosar Protocolizado LxAxh 40A Emergencia. Incluye, juego de barras de cobre RST-N+T Emergencia, accesorios de montaje para correcto funcionamiento.  </t>
  </si>
  <si>
    <t>24.3.14.2</t>
  </si>
  <si>
    <t>Alimentador desde el TPE T al TSE Asc con conductor XLPE 4x10 mm2 + 1x10 mm2</t>
  </si>
  <si>
    <t>24.3.14.3</t>
  </si>
  <si>
    <t>24.3.14.4</t>
  </si>
  <si>
    <t>24.3.14.5</t>
  </si>
  <si>
    <t>Interruptores termomagnetico  Tripolar 3x16 A</t>
  </si>
  <si>
    <t>24.3.14.6</t>
  </si>
  <si>
    <t>24.3.14.7</t>
  </si>
  <si>
    <t>24.3.15</t>
  </si>
  <si>
    <t>TABLERO SECCIONAL EMERGENCIA PRESURIZACION - TSE Pres 
(Provision y montaje de los componentes citados mas abajo incluidos los materiales necesarios).</t>
  </si>
  <si>
    <t>24.3.15.1</t>
  </si>
  <si>
    <t xml:space="preserve">Tablero metálico de Adosar Protocolizado LxAxh 20A Emergencia. Incluye, juego de barras de cobre RST-N+T Emergencia, accesorios de montaje para correcto funcionamiento.  </t>
  </si>
  <si>
    <t>24.3.15.2</t>
  </si>
  <si>
    <t>Alimentador desde el TP PCI al TSE Pres con conductor XLPE 4x4 mm2 + 1x4 mm2</t>
  </si>
  <si>
    <t>24.3.15.3</t>
  </si>
  <si>
    <t>24.3.15.4</t>
  </si>
  <si>
    <t>24.3.15.5</t>
  </si>
  <si>
    <t>24.3.16</t>
  </si>
  <si>
    <t>TABLERO PRINCIPAL NORMAL/EMERGENCIA SALA TECNICA - TPNE ST
(Provision y montaje de los componentes citados mas abajo incluidos los materiales necesarios).</t>
  </si>
  <si>
    <t>24.3.16.1</t>
  </si>
  <si>
    <t xml:space="preserve">Tablero metálico de Adosar Protocolizado LxAxh 20A Nomal - 80A Emergencia. Incluye, juego de barras de cobre RST-N+T Normal y Emergencia, accesorios de montaje para correcto funcionamiento.  </t>
  </si>
  <si>
    <t>24.3.16.2</t>
  </si>
  <si>
    <t xml:space="preserve">Alimentador desde el TGN al TPN ST con conductor XLPE 4x4 mm2 + 1x4 mm2 </t>
  </si>
  <si>
    <t>24.3.16.3</t>
  </si>
  <si>
    <t xml:space="preserve">Alimentador desde el TGE al TPE ST con conductor XLPE  4x16 mm2 + 1x16 mm2 </t>
  </si>
  <si>
    <t>24.3.16.4</t>
  </si>
  <si>
    <t>Interruptor Termomagnetico 3x20 A - Normal</t>
  </si>
  <si>
    <t>24.3.16.5</t>
  </si>
  <si>
    <t>24.3.16.6</t>
  </si>
  <si>
    <t>24.3.16.7</t>
  </si>
  <si>
    <t>24.3.16.8</t>
  </si>
  <si>
    <t>Interruptor diferencial bipolar 2x25 A</t>
  </si>
  <si>
    <t>24.3.16.9</t>
  </si>
  <si>
    <t>24.3.16.10</t>
  </si>
  <si>
    <t>24.3.16.11</t>
  </si>
  <si>
    <t>24.3.16.12</t>
  </si>
  <si>
    <t>24.3.16.13</t>
  </si>
  <si>
    <t>24.3.17</t>
  </si>
  <si>
    <t>TABLERO PRINCIPAL NORMAL/EMERGENCIA BLOQUE E -  TPNE BE
(Provision y montaje de los componentes citados mas abajo incluidos los materiales necesarios).</t>
  </si>
  <si>
    <t>24.3.17.1</t>
  </si>
  <si>
    <t>24.3.17.2</t>
  </si>
  <si>
    <t xml:space="preserve">Alimentador desde el TGN al TPN BE con conductor XLPE 4x1x50 mm2 + 1x50 mm2 </t>
  </si>
  <si>
    <t>24.3.17.3</t>
  </si>
  <si>
    <t xml:space="preserve">Alimentador desde el TGE al TPE BE con conductor XLPE  4x1x16 mm2 + 1x16 mm2 </t>
  </si>
  <si>
    <t>24.3.17.4</t>
  </si>
  <si>
    <t>24.3.17.5</t>
  </si>
  <si>
    <t>24.3.17.6</t>
  </si>
  <si>
    <t>24.3.17.7</t>
  </si>
  <si>
    <t>24.3.17.8</t>
  </si>
  <si>
    <t>Interruptores termomagnetico Tripolar 3x80 A</t>
  </si>
  <si>
    <t>24.3.17.9</t>
  </si>
  <si>
    <t>24.3.17.10</t>
  </si>
  <si>
    <t>Interruptores termomagnetico  Tripolar 3x32 A</t>
  </si>
  <si>
    <t>24.3.17.11</t>
  </si>
  <si>
    <t>Interruptores termomagnetico  Tripolar 3x25 A</t>
  </si>
  <si>
    <t>24.3.17.12</t>
  </si>
  <si>
    <t>24.3.17.13</t>
  </si>
  <si>
    <t>24.3.17.14</t>
  </si>
  <si>
    <t>24.3.18</t>
  </si>
  <si>
    <t>TABLERO SECCIONAL NORMAL/EMERGENCIA CAFETERIA - TSNE Caf 
(Provision y montaje de los componentes citados mas abajo incluidos los materiales necesarios).</t>
  </si>
  <si>
    <t>24.3.18.1</t>
  </si>
  <si>
    <t xml:space="preserve">Tablero metálico de Adosar Protocolizado LxAxh 63A Nomal - 80A Emergencia. Incluye, juego de barras de cobre RST-N+T Normal y Emergencia, accesorios de montaje para correcto funcionamiento.  </t>
  </si>
  <si>
    <t>24.3.18.2</t>
  </si>
  <si>
    <t xml:space="preserve">Alimentador desde el TPN BE al TSN Caf con conductor XLPE 4x16 mm2 + 1x16 mm2 </t>
  </si>
  <si>
    <t>24.3.18.3</t>
  </si>
  <si>
    <t>Alimentador desde el TPE BE al TSE Caf con conductor XLPE 4x16 mm2 + 1x16 mm2</t>
  </si>
  <si>
    <t>24.3.18.4</t>
  </si>
  <si>
    <t>Interruptor Termomagnetico 3x63. A - Normal</t>
  </si>
  <si>
    <t>24.3.18.5</t>
  </si>
  <si>
    <t>24.3.18.6</t>
  </si>
  <si>
    <t>24.3.18.7</t>
  </si>
  <si>
    <t>24.3.18.8</t>
  </si>
  <si>
    <t>24.3.18.9</t>
  </si>
  <si>
    <t>Interruptores termomagnetico tripolar 3x20 A</t>
  </si>
  <si>
    <t>24.3.18.10</t>
  </si>
  <si>
    <t>Interruptores termomagnetico tripolar 3x16 A</t>
  </si>
  <si>
    <t>24.3.18.11</t>
  </si>
  <si>
    <t>24.3.18.12</t>
  </si>
  <si>
    <t>24.3.18.13</t>
  </si>
  <si>
    <t>24.3.19</t>
  </si>
  <si>
    <t>TABLERO PRINCIPAL EMERGENCIA ILUMINACION EXTERIOR - TPE IE
(Provision y montaje de los componentes citados mas abajo incluidos los materiales necesarios).</t>
  </si>
  <si>
    <t>24.3.19.1</t>
  </si>
  <si>
    <t xml:space="preserve">Tablero metálico de Adosar Protocolizado LxAxh 32A Emergencia. Incluye, juego de barras de cobre RST-N+T Normal y Emergencia, accesorios de montaje para correcto funcionamiento.  </t>
  </si>
  <si>
    <t>24.3.19.2</t>
  </si>
  <si>
    <t xml:space="preserve">Alimentador desde el TGE al TPE IE con conductor XLPE  4x6 mm2 + 1x6 mm2 </t>
  </si>
  <si>
    <t>24.3.19.3</t>
  </si>
  <si>
    <t>24.3.19.4</t>
  </si>
  <si>
    <t>24.3.19.5</t>
  </si>
  <si>
    <t>24.3.19.6</t>
  </si>
  <si>
    <t>24.3.19.7</t>
  </si>
  <si>
    <t>24.3.20</t>
  </si>
  <si>
    <t>TABLERO PRINCIPAL EMERGENCIA BOMBAS DE AGUA CORRIENTE - TPE BAC
(Provision y montaje de los componentes citados mas abajo incluidos los materiales necesarios).</t>
  </si>
  <si>
    <t>24.3.20.1</t>
  </si>
  <si>
    <t xml:space="preserve">Tablero metálico de Adosar Protocolizado LxAxh 50A Emergencia. Incluye, juego de barras de cobre RST-N+T Normal y Emergencia, accesorios de montaje para correcto funcionamiento.  </t>
  </si>
  <si>
    <t>24.3.20.2</t>
  </si>
  <si>
    <t xml:space="preserve">Alimentador desde el TGE al TPE BAC con conductor XLPE  4x10 mm2 + 1x10 mm2 </t>
  </si>
  <si>
    <t>24.3.20.3</t>
  </si>
  <si>
    <t>24.3.20.4</t>
  </si>
  <si>
    <t>24.3.20.5</t>
  </si>
  <si>
    <t>24.3.21</t>
  </si>
  <si>
    <t>TABLERO PRINCIPAL EMERGENCIA SISTEMA DE PCI - TPE PCI
(Provision y montaje de los componentes citados mas abajo incluidos los materiales necesarios).</t>
  </si>
  <si>
    <t>24.3.21.1</t>
  </si>
  <si>
    <t xml:space="preserve">Tablero metálico de Adosar Protocolizado LxAxh 150A Emergencia. Incluye, juego de barras de cobre RST-N+T Normal y Emergencia, accesorios de montaje para correcto funcionamiento.  </t>
  </si>
  <si>
    <t>24.3.21.2</t>
  </si>
  <si>
    <t xml:space="preserve">Alimentador desde el TGE al TPE PCI con conductor XLPE  4x1X35 mm2 + 1x35 mm2 </t>
  </si>
  <si>
    <t>24.3.21.3</t>
  </si>
  <si>
    <t>24.3.22</t>
  </si>
  <si>
    <t>TABLERO PRINCIPAL NORMAL CLIMATIZACION - TPN Cli
(Provision y montaje de los componentes citados mas abajo incluidos los materiales necesarios).</t>
  </si>
  <si>
    <t>24.3.22.1</t>
  </si>
  <si>
    <t xml:space="preserve">Tablero metálico de Adosar Protocolizado LxAxh 630A Emergencia. Incluye, juego de barras de cobre RST-N+T Normal y Emergencia, accesorios de montaje para correcto funcionamiento.  </t>
  </si>
  <si>
    <t>24.3.22.2</t>
  </si>
  <si>
    <t>Alimentador desde el TGN al TPN Cli con conductor XLPE  4x(2x1x120) mm2 + 1x50 mm2</t>
  </si>
  <si>
    <t>24.3.22.3</t>
  </si>
  <si>
    <t>Interruptor Termomagnetico 3x630 A - Normal</t>
  </si>
  <si>
    <t>24.3.22.4</t>
  </si>
  <si>
    <t>24.3.22.5</t>
  </si>
  <si>
    <t>24.3.22.6</t>
  </si>
  <si>
    <t>24.4</t>
  </si>
  <si>
    <t xml:space="preserve">ILUMINACION, TOMACORRIENTES, ALIMENTACIÓN CLIMATIZACIÓN  - TABLERO SECCIONAL NORMAL/EMERGENCIA SUBSUELO 2 - TSNE SS2 </t>
  </si>
  <si>
    <t>24.4.1</t>
  </si>
  <si>
    <t xml:space="preserve">ILUMINACION </t>
  </si>
  <si>
    <t>24.4.1.1</t>
  </si>
  <si>
    <t>Conductor 2x1,5 mm2 XLPE F-N</t>
  </si>
  <si>
    <t>24.4.1.2</t>
  </si>
  <si>
    <t>Conductor 1x1,5 mm2 Multifilar F-N</t>
  </si>
  <si>
    <t>24.4.1.3</t>
  </si>
  <si>
    <t>Caja de derivacion cuadrangular 20x20</t>
  </si>
  <si>
    <t>24.4.1.4</t>
  </si>
  <si>
    <t xml:space="preserve">Caja de conexion octogonal de plastico </t>
  </si>
  <si>
    <t>24.4.1.5</t>
  </si>
  <si>
    <t xml:space="preserve">Caja de llave rectangular de plastico </t>
  </si>
  <si>
    <t>24.4.1.6</t>
  </si>
  <si>
    <t>Electroducto corrugado antillama 3/4''</t>
  </si>
  <si>
    <t>24.4.1.7</t>
  </si>
  <si>
    <t xml:space="preserve">Accesorios de montaje, alambres, soportes metalicos segun detalles. </t>
  </si>
  <si>
    <t>24.4.1.8</t>
  </si>
  <si>
    <t>Interruptor 1P - 10A - Incluye, placa, modulo accesorios.</t>
  </si>
  <si>
    <t>24.4.1.9</t>
  </si>
  <si>
    <t xml:space="preserve">Contactor 3x025A 11KW 220VCA - Para accionamiento de zonas de iluminacion </t>
  </si>
  <si>
    <t>24.4.1.10</t>
  </si>
  <si>
    <t>Artefacto de Iluminación TIPO 2</t>
  </si>
  <si>
    <t>24.4.1.11</t>
  </si>
  <si>
    <t>Artefacto de Iluminación TIPO 3</t>
  </si>
  <si>
    <t>24.4.1.12</t>
  </si>
  <si>
    <t>Artefacto de Iluminación TIPO 4</t>
  </si>
  <si>
    <t>24.4.1.13</t>
  </si>
  <si>
    <t>Artefacto de Iluminación TIPO 8</t>
  </si>
  <si>
    <t>24.4.2</t>
  </si>
  <si>
    <t>TOMACORRIENTE - PUESTOS DE TRABAJO - TOMA Schuko - SECAMANO</t>
  </si>
  <si>
    <t>24.4.2.1</t>
  </si>
  <si>
    <t>Conductor 2x2,5 mm2 XLPE F-N</t>
  </si>
  <si>
    <t>24.4.2.2</t>
  </si>
  <si>
    <t>Conductor 1x2,5 mm2 Multifilar F-N</t>
  </si>
  <si>
    <t>24.4.2.3</t>
  </si>
  <si>
    <t xml:space="preserve">Conductor 1x2,5 mm2 Multifilar T - Verde/Amarillo </t>
  </si>
  <si>
    <t>24.4.2.4</t>
  </si>
  <si>
    <t>24.4.2.5</t>
  </si>
  <si>
    <t>24.4.2.6</t>
  </si>
  <si>
    <t>24.4.2.7</t>
  </si>
  <si>
    <t>24.4.2.8</t>
  </si>
  <si>
    <t>24.4.2.9</t>
  </si>
  <si>
    <t>Tomacorriente Euroamericano s/ Tierra 10 A - FN</t>
  </si>
  <si>
    <t>24.4.2.10</t>
  </si>
  <si>
    <t>Tomacorriente Americano PC c/ Tierra 10 A - FN+T</t>
  </si>
  <si>
    <t>24.4.2.11</t>
  </si>
  <si>
    <t>Tomacorriente Schuko 16 A</t>
  </si>
  <si>
    <t>24.4.3</t>
  </si>
  <si>
    <t>EQUIPOS DE CLIMATIZACION - RECUPERADORES DE CALOR</t>
  </si>
  <si>
    <t>24.4.3.1</t>
  </si>
  <si>
    <t>Conductor 2x2.5 mm2 XLPE F-N</t>
  </si>
  <si>
    <t>24.4.3.2</t>
  </si>
  <si>
    <t>Conductor 2x4 mm2 XLPE F-N</t>
  </si>
  <si>
    <t>24.4.3.3</t>
  </si>
  <si>
    <t>Conductor 2x6 mm2 XLPE F-N</t>
  </si>
  <si>
    <t>24.4.3.4</t>
  </si>
  <si>
    <t>24.4.3.5</t>
  </si>
  <si>
    <t>24.4.3.6</t>
  </si>
  <si>
    <t>24.4.3.7</t>
  </si>
  <si>
    <t xml:space="preserve">Accesorios de montaje, prensacables PG con tuerca, alambres, soportes metalicos segun detalles. </t>
  </si>
  <si>
    <t>24.4.4</t>
  </si>
  <si>
    <t xml:space="preserve">VARIOS - EMBUTIDOS EN LOSA </t>
  </si>
  <si>
    <t>24.4.4.1</t>
  </si>
  <si>
    <t xml:space="preserve">Caja metalica octogonal  </t>
  </si>
  <si>
    <t>24.4.4.2</t>
  </si>
  <si>
    <t xml:space="preserve">Caja plastica de embutir 20x20 </t>
  </si>
  <si>
    <t>24.4.4.3</t>
  </si>
  <si>
    <t>Caño electroducto liso de Polietileno 3/4"</t>
  </si>
  <si>
    <t>24.4.4.4</t>
  </si>
  <si>
    <t xml:space="preserve">Accesorios, alambres para sujecion.  </t>
  </si>
  <si>
    <t>24.4.5</t>
  </si>
  <si>
    <t xml:space="preserve">BANDEJADO ELECTRICO HORIZONTAL </t>
  </si>
  <si>
    <t>24.4.5.1</t>
  </si>
  <si>
    <t>Bandeja portacable ZI 200 mm</t>
  </si>
  <si>
    <t>24.4.5.2</t>
  </si>
  <si>
    <t xml:space="preserve">Accesorios de montaje, Curvas, reducciones y soportes. </t>
  </si>
  <si>
    <t>24.5</t>
  </si>
  <si>
    <t>ILUMINACION, TOMACORRIENTES, ALIMENTACIÓN CLIMATIZACIÓN  - TABLERO SECCIONAL NORMAL/EMERGENCIA SUBSUELO 1 - TSNE SS1</t>
  </si>
  <si>
    <t>24.5.1</t>
  </si>
  <si>
    <t>24.5.1.1</t>
  </si>
  <si>
    <t>24.5.1.2</t>
  </si>
  <si>
    <t>24.5.1.3</t>
  </si>
  <si>
    <t>24.5.1.4</t>
  </si>
  <si>
    <t>24.5.1.5</t>
  </si>
  <si>
    <t>24.5.1.6</t>
  </si>
  <si>
    <t>24.5.1.7</t>
  </si>
  <si>
    <t>24.5.1.8</t>
  </si>
  <si>
    <t>24.5.1.9</t>
  </si>
  <si>
    <t>24.5.1.10</t>
  </si>
  <si>
    <t>Artefacto de Iluminación TIPO 1</t>
  </si>
  <si>
    <t>24.5.1.11</t>
  </si>
  <si>
    <t>24.5.1.12</t>
  </si>
  <si>
    <t>Artefacto de Iluminación TIPO 6</t>
  </si>
  <si>
    <t>24.5.1.13</t>
  </si>
  <si>
    <t>Artefacto de Iluminación TIPO 7</t>
  </si>
  <si>
    <t>24.5.1.14</t>
  </si>
  <si>
    <t>Artefacto de Iluminación TIPO 10</t>
  </si>
  <si>
    <t>24.5.2</t>
  </si>
  <si>
    <t>24.5.2.1</t>
  </si>
  <si>
    <t>24.5.2.2</t>
  </si>
  <si>
    <t>24.5.2.3</t>
  </si>
  <si>
    <t>24.5.2.4</t>
  </si>
  <si>
    <t>24.5.2.5</t>
  </si>
  <si>
    <t>24.5.2.6</t>
  </si>
  <si>
    <t>24.5.2.7</t>
  </si>
  <si>
    <t>24.5.2.8</t>
  </si>
  <si>
    <t>24.5.2.9</t>
  </si>
  <si>
    <t>24.5.2.10</t>
  </si>
  <si>
    <t>24.5.2.11</t>
  </si>
  <si>
    <t>24.5.3</t>
  </si>
  <si>
    <t>24.5.3.1</t>
  </si>
  <si>
    <t>24.5.3.2</t>
  </si>
  <si>
    <t>24.5.3.3</t>
  </si>
  <si>
    <t>24.5.3.4</t>
  </si>
  <si>
    <t>24.5.3.5</t>
  </si>
  <si>
    <t>24.5.3.6</t>
  </si>
  <si>
    <t>24.5.3.7</t>
  </si>
  <si>
    <t>24.5.4</t>
  </si>
  <si>
    <t>24.5.4.1</t>
  </si>
  <si>
    <t>24.5.4.2</t>
  </si>
  <si>
    <t>24.5.4.3</t>
  </si>
  <si>
    <t>24.5.4.4</t>
  </si>
  <si>
    <t>24.5.5</t>
  </si>
  <si>
    <t>24.5.5.1</t>
  </si>
  <si>
    <t>Bandeja portacable ZI 600 mm</t>
  </si>
  <si>
    <t>24.5.5.2</t>
  </si>
  <si>
    <t>Bandeja portacable ZI 450 mm</t>
  </si>
  <si>
    <t>Bandeja portacable ZI 150 mm</t>
  </si>
  <si>
    <t>24.5.5.3</t>
  </si>
  <si>
    <t>24.6</t>
  </si>
  <si>
    <t>ILUMINACION, TOMACORRIENTES, ALIMENTACIÓN CLIMATIZACIÓN  - TABLERO SECCIONAL NORMAL/EMERGENCIA GUARDERIA - TSNE GU</t>
  </si>
  <si>
    <t>24.6.1</t>
  </si>
  <si>
    <t>24.6.1.1</t>
  </si>
  <si>
    <t>24.6.1.2</t>
  </si>
  <si>
    <t>24.6.1.3</t>
  </si>
  <si>
    <t>24.6.1.4</t>
  </si>
  <si>
    <t>24.6.1.5</t>
  </si>
  <si>
    <t>24.6.1.6</t>
  </si>
  <si>
    <t>24.6.1.7</t>
  </si>
  <si>
    <t>24.6.1.8</t>
  </si>
  <si>
    <t>24.6.1.9</t>
  </si>
  <si>
    <t>24.6.1.10</t>
  </si>
  <si>
    <t>Artefacto de Iluminación TIPO 12</t>
  </si>
  <si>
    <t>24.6.2</t>
  </si>
  <si>
    <t>24.6.2.1</t>
  </si>
  <si>
    <t>24.6.2.2</t>
  </si>
  <si>
    <t>Conductor 1x4 mm2 Multifilar F-N</t>
  </si>
  <si>
    <t>24.6.2.3</t>
  </si>
  <si>
    <t>24.6.2.4</t>
  </si>
  <si>
    <t>24.6.2.5</t>
  </si>
  <si>
    <t>24.6.2.6</t>
  </si>
  <si>
    <t>24.6.2.7</t>
  </si>
  <si>
    <t>24.6.2.8</t>
  </si>
  <si>
    <t>24.6.2.9</t>
  </si>
  <si>
    <t>24.6.2.10</t>
  </si>
  <si>
    <t>24.6.3</t>
  </si>
  <si>
    <t>24.6.3.1</t>
  </si>
  <si>
    <t>24.6.3.2</t>
  </si>
  <si>
    <t>24.6.3.3</t>
  </si>
  <si>
    <t>24.6.3.4</t>
  </si>
  <si>
    <t xml:space="preserve">Conductor 1x4 mm2 Multifilar T - Verde/Amarillo </t>
  </si>
  <si>
    <t>24.6.3.5</t>
  </si>
  <si>
    <t>24.6.3.6</t>
  </si>
  <si>
    <t>24.6.3.7</t>
  </si>
  <si>
    <t>24.7</t>
  </si>
  <si>
    <t xml:space="preserve">ILUMINACION, TOMACORRIENTES, ALIMENTACIÓN CLIMATIZACIÓN  - TABLERO SECCIONAL NORMAL/EMERGENCIA PLANTA BAJA - TSNE PB </t>
  </si>
  <si>
    <t>24.7.1</t>
  </si>
  <si>
    <t>24.7.1.1</t>
  </si>
  <si>
    <t>24.7.1.2</t>
  </si>
  <si>
    <t>24.7.1.3</t>
  </si>
  <si>
    <t>24.7.1.4</t>
  </si>
  <si>
    <t>24.7.1.5</t>
  </si>
  <si>
    <t>24.7.1.6</t>
  </si>
  <si>
    <t>24.7.1.7</t>
  </si>
  <si>
    <t>24.7.1.8</t>
  </si>
  <si>
    <t>24.7.1.9</t>
  </si>
  <si>
    <t>24.7.1.10</t>
  </si>
  <si>
    <t>24.7.1.11</t>
  </si>
  <si>
    <t>24.7.1.12</t>
  </si>
  <si>
    <t>24.7.1.13</t>
  </si>
  <si>
    <t>24.7.1.14</t>
  </si>
  <si>
    <t>24.7.1.15</t>
  </si>
  <si>
    <t>24.7.1.16</t>
  </si>
  <si>
    <t>24.7.2</t>
  </si>
  <si>
    <t>24.7.2.1</t>
  </si>
  <si>
    <t>24.7.2.2</t>
  </si>
  <si>
    <t>24.7.2.3</t>
  </si>
  <si>
    <t>24.7.2.4</t>
  </si>
  <si>
    <t>24.7.2.5</t>
  </si>
  <si>
    <t>24.7.2.6</t>
  </si>
  <si>
    <t>24.7.2.7</t>
  </si>
  <si>
    <t>24.7.2.8</t>
  </si>
  <si>
    <t>Electroducto corrugado antillama 1''</t>
  </si>
  <si>
    <t>24.7.2.9</t>
  </si>
  <si>
    <t>24.7.2.10</t>
  </si>
  <si>
    <t>24.7.2.11</t>
  </si>
  <si>
    <t>24.7.2.12</t>
  </si>
  <si>
    <t>24.7.3</t>
  </si>
  <si>
    <t xml:space="preserve">EQUIPOS DE CLIMATIZACION - EXTRACTORES - SECAMANOS </t>
  </si>
  <si>
    <t>24.7.3.1</t>
  </si>
  <si>
    <t>24.7.3.2</t>
  </si>
  <si>
    <t>24.7.3.3</t>
  </si>
  <si>
    <t>24.7.3.4</t>
  </si>
  <si>
    <t>24.7.3.5</t>
  </si>
  <si>
    <t>24.7.3.6</t>
  </si>
  <si>
    <t xml:space="preserve">Conductor 1x6 mm2 Multifilar T - Verde/Amarillo </t>
  </si>
  <si>
    <t>24.7.3.7</t>
  </si>
  <si>
    <t>24.7.3.8</t>
  </si>
  <si>
    <t>24.7.3.9</t>
  </si>
  <si>
    <t>24.7.3.10</t>
  </si>
  <si>
    <t>24.7.4</t>
  </si>
  <si>
    <t>24.7.4.1</t>
  </si>
  <si>
    <t>24.7.4.2</t>
  </si>
  <si>
    <t>24.7.4.3</t>
  </si>
  <si>
    <t>24.7.4.4</t>
  </si>
  <si>
    <t>24.7.5</t>
  </si>
  <si>
    <t>24.7.5.1</t>
  </si>
  <si>
    <t>24.7.5.2</t>
  </si>
  <si>
    <t>24.7.5.3</t>
  </si>
  <si>
    <t>24.8</t>
  </si>
  <si>
    <t xml:space="preserve">ILUMINACION, TOMACORRIENTES, ALIMENTACIÓN CLIMATIZACIÓN  - TABLERO SECCIONAL NORMAL/EMERGENCIA PRIMER PISO - TSNE 1P </t>
  </si>
  <si>
    <t>24.8.1</t>
  </si>
  <si>
    <t>24.8.1.1</t>
  </si>
  <si>
    <t>24.8.1.2</t>
  </si>
  <si>
    <t>24.8.1.3</t>
  </si>
  <si>
    <t>24.8.1.4</t>
  </si>
  <si>
    <t>24.8.1.5</t>
  </si>
  <si>
    <t>24.8.1.6</t>
  </si>
  <si>
    <t>24.8.1.7</t>
  </si>
  <si>
    <t>24.8.1.8</t>
  </si>
  <si>
    <t>24.8.1.9</t>
  </si>
  <si>
    <t>24.8.1.10</t>
  </si>
  <si>
    <t>24.8.1.11</t>
  </si>
  <si>
    <t>24.8.1.12</t>
  </si>
  <si>
    <t>24.8.1.13</t>
  </si>
  <si>
    <t>24.8.1.14</t>
  </si>
  <si>
    <t>24.8.2</t>
  </si>
  <si>
    <t>24.8.2.1</t>
  </si>
  <si>
    <t>24.8.2.2</t>
  </si>
  <si>
    <t>24.8.2.3</t>
  </si>
  <si>
    <t>24.8.2.4</t>
  </si>
  <si>
    <t>24.8.2.5</t>
  </si>
  <si>
    <t>24.8.2.6</t>
  </si>
  <si>
    <t>24.8.2.7</t>
  </si>
  <si>
    <t>24.8.2.8</t>
  </si>
  <si>
    <t>24.8.2.9</t>
  </si>
  <si>
    <t>24.8.2.10</t>
  </si>
  <si>
    <t>24.8.2.11</t>
  </si>
  <si>
    <t>24.8.2.12</t>
  </si>
  <si>
    <t>24.8.3</t>
  </si>
  <si>
    <t>24.8.3.1</t>
  </si>
  <si>
    <t>24.8.3.2</t>
  </si>
  <si>
    <t>24.8.3.3</t>
  </si>
  <si>
    <t>24.8.3.4</t>
  </si>
  <si>
    <t>24.8.3.5</t>
  </si>
  <si>
    <t>24.8.3.6</t>
  </si>
  <si>
    <t>24.8.3.7</t>
  </si>
  <si>
    <t>24.8.3.8</t>
  </si>
  <si>
    <t>24.8.3.9</t>
  </si>
  <si>
    <t>24.8.3.10</t>
  </si>
  <si>
    <t>24.8.4</t>
  </si>
  <si>
    <t>24.8.4.1</t>
  </si>
  <si>
    <t>24.8.4.2</t>
  </si>
  <si>
    <t>24.8.4.3</t>
  </si>
  <si>
    <t>24.8.4.4</t>
  </si>
  <si>
    <t>24.8.5</t>
  </si>
  <si>
    <t>24.8.5.1</t>
  </si>
  <si>
    <t>24.8.5.2</t>
  </si>
  <si>
    <t>24.8.5.3</t>
  </si>
  <si>
    <t>24.9</t>
  </si>
  <si>
    <t xml:space="preserve">ILUMINACION, TOMACORRIENTES, ALIMENTACIÓN CLIMATIZACIÓN  - TABLERO SECCIONAL NORMAL/EMERGENCIA SEGUNDO PISO - TSNE 2P </t>
  </si>
  <si>
    <t>24.9.1</t>
  </si>
  <si>
    <t>24.9.1.1</t>
  </si>
  <si>
    <t>24.9.1.2</t>
  </si>
  <si>
    <t>24.9.1.3</t>
  </si>
  <si>
    <t>24.9.1.4</t>
  </si>
  <si>
    <t>24.9.1.5</t>
  </si>
  <si>
    <t>24.9.1.6</t>
  </si>
  <si>
    <t>24.9.1.7</t>
  </si>
  <si>
    <t>24.9.1.8</t>
  </si>
  <si>
    <t>24.9.1.9</t>
  </si>
  <si>
    <t>24.9.1.10</t>
  </si>
  <si>
    <t>24.9.1.11</t>
  </si>
  <si>
    <t>24.9.1.12</t>
  </si>
  <si>
    <t>24.9.1.13</t>
  </si>
  <si>
    <t>24.9.2</t>
  </si>
  <si>
    <t>24.9.2.1</t>
  </si>
  <si>
    <t>24.9.2.2</t>
  </si>
  <si>
    <t>24.9.2.3</t>
  </si>
  <si>
    <t>24.9.2.4</t>
  </si>
  <si>
    <t>24.9.2.5</t>
  </si>
  <si>
    <t>24.9.2.6</t>
  </si>
  <si>
    <t>24.9.2.7</t>
  </si>
  <si>
    <t>24.9.2.8</t>
  </si>
  <si>
    <t>24.9.2.9</t>
  </si>
  <si>
    <t>24.9.2.10</t>
  </si>
  <si>
    <t>24.9.2.11</t>
  </si>
  <si>
    <t>24.9.3</t>
  </si>
  <si>
    <t>24.9.3.1</t>
  </si>
  <si>
    <t>24.9.3.2</t>
  </si>
  <si>
    <t>24.9.3.3</t>
  </si>
  <si>
    <t>24.9.3.4</t>
  </si>
  <si>
    <t>24.9.3.5</t>
  </si>
  <si>
    <t>24.9.3.6</t>
  </si>
  <si>
    <t>24.9.3.7</t>
  </si>
  <si>
    <t>24.9.3.8</t>
  </si>
  <si>
    <t>24.9.3.9</t>
  </si>
  <si>
    <t>24.9.3.10</t>
  </si>
  <si>
    <t>24.9.4</t>
  </si>
  <si>
    <t>24.9.4.1</t>
  </si>
  <si>
    <t>24.9.4.2</t>
  </si>
  <si>
    <t>24.9.4.3</t>
  </si>
  <si>
    <t>24.9.4.4</t>
  </si>
  <si>
    <t>24.9.5</t>
  </si>
  <si>
    <t>24.9.5.1</t>
  </si>
  <si>
    <t>24.9.5.2</t>
  </si>
  <si>
    <t>24.9.5.3</t>
  </si>
  <si>
    <t>24.10</t>
  </si>
  <si>
    <t xml:space="preserve">ILUMINACION, TOMACORRIENTES, ALIMENTACIÓN CLIMATIZACIÓN  - TABLERO SECCIONAL NORMAL/EMERGENCIA TERCER PISO - TSNE 3P </t>
  </si>
  <si>
    <t>24.10.1</t>
  </si>
  <si>
    <t>24.10.1.1</t>
  </si>
  <si>
    <t>24.10.1.2</t>
  </si>
  <si>
    <t>24.10.1.3</t>
  </si>
  <si>
    <t>24.10.1.4</t>
  </si>
  <si>
    <t>24.10.1.5</t>
  </si>
  <si>
    <t>24.10.1.6</t>
  </si>
  <si>
    <t>24.10.1.7</t>
  </si>
  <si>
    <t>24.10.1.8</t>
  </si>
  <si>
    <t>24.10.1.9</t>
  </si>
  <si>
    <t>24.10.1.10</t>
  </si>
  <si>
    <t>24.10.1.11</t>
  </si>
  <si>
    <t>24.10.1.12</t>
  </si>
  <si>
    <t>24.10.1.13</t>
  </si>
  <si>
    <t>24.10.2</t>
  </si>
  <si>
    <t>24.10.2.1</t>
  </si>
  <si>
    <t>24.10.2.2</t>
  </si>
  <si>
    <t>24.10.2.3</t>
  </si>
  <si>
    <t>24.10.2.4</t>
  </si>
  <si>
    <t>24.10.2.5</t>
  </si>
  <si>
    <t>24.10.2.6</t>
  </si>
  <si>
    <t>24.10.2.7</t>
  </si>
  <si>
    <t>24.10.2.8</t>
  </si>
  <si>
    <t>24.10.2.9</t>
  </si>
  <si>
    <t>24.10.2.10</t>
  </si>
  <si>
    <t>24.10.2.11</t>
  </si>
  <si>
    <t>24.10.3</t>
  </si>
  <si>
    <t>24.10.3.1</t>
  </si>
  <si>
    <t>24.10.3.2</t>
  </si>
  <si>
    <t>24.10.3.3</t>
  </si>
  <si>
    <t>24.10.3.4</t>
  </si>
  <si>
    <t>24.10.3.5</t>
  </si>
  <si>
    <t>24.10.3.6</t>
  </si>
  <si>
    <t>24.10.3.7</t>
  </si>
  <si>
    <t>24.10.3.8</t>
  </si>
  <si>
    <t>24.10.3.9</t>
  </si>
  <si>
    <t>24.10.3.10</t>
  </si>
  <si>
    <t>24.10.4</t>
  </si>
  <si>
    <t>24.10.4.1</t>
  </si>
  <si>
    <t>24.10.4.2</t>
  </si>
  <si>
    <t>24.10.4.3</t>
  </si>
  <si>
    <t>24.10.4.4</t>
  </si>
  <si>
    <t>24.10.5</t>
  </si>
  <si>
    <t>24.10.5.1</t>
  </si>
  <si>
    <t>24.10.5.2</t>
  </si>
  <si>
    <t>24.10.5.3</t>
  </si>
  <si>
    <t>24.11</t>
  </si>
  <si>
    <t xml:space="preserve">ILUMINACION, TOMACORRIENTES, ALIMENTACIÓN CLIMATIZACIÓN  - TABLERO SECCIONAL NORMAL/EMERGENCIA CUARTO PISO - TSNE 4P </t>
  </si>
  <si>
    <t>24.11.1</t>
  </si>
  <si>
    <t>24.11.1.1</t>
  </si>
  <si>
    <t>24.11.1.2</t>
  </si>
  <si>
    <t>24.11.1.3</t>
  </si>
  <si>
    <t>24.11.1.4</t>
  </si>
  <si>
    <t>24.11.1.5</t>
  </si>
  <si>
    <t>24.11.1.6</t>
  </si>
  <si>
    <t>24.11.1.7</t>
  </si>
  <si>
    <t>24.11.1.8</t>
  </si>
  <si>
    <t>24.11.1.9</t>
  </si>
  <si>
    <t>Interruptor 3P - 10A - Incluye, placa, modulo accesorios.</t>
  </si>
  <si>
    <t>24.11.1.10</t>
  </si>
  <si>
    <t>24.11.1.11</t>
  </si>
  <si>
    <t>24.11.1.12</t>
  </si>
  <si>
    <t>24.11.1.13</t>
  </si>
  <si>
    <t>24.11.1.14</t>
  </si>
  <si>
    <t>Artefacto de Iluminación TIPO 15</t>
  </si>
  <si>
    <t>24.11.2</t>
  </si>
  <si>
    <t>24.11.2.1</t>
  </si>
  <si>
    <t>24.11.2.2</t>
  </si>
  <si>
    <t>24.11.2.3</t>
  </si>
  <si>
    <t>24.11.2.4</t>
  </si>
  <si>
    <t>24.11.2.5</t>
  </si>
  <si>
    <t>24.11.2.6</t>
  </si>
  <si>
    <t>24.11.2.7</t>
  </si>
  <si>
    <t>24.11.2.8</t>
  </si>
  <si>
    <t>24.11.2.9</t>
  </si>
  <si>
    <t>24.11.2.10</t>
  </si>
  <si>
    <t>24.11.2.11</t>
  </si>
  <si>
    <t>24.11.3</t>
  </si>
  <si>
    <t>24.11.3.1</t>
  </si>
  <si>
    <t>24.11.3.2</t>
  </si>
  <si>
    <t>24.11.3.3</t>
  </si>
  <si>
    <t>24.11.3.4</t>
  </si>
  <si>
    <t>24.11.3.5</t>
  </si>
  <si>
    <t>24.11.3.6</t>
  </si>
  <si>
    <t>24.11.3.7</t>
  </si>
  <si>
    <t>24.11.3.8</t>
  </si>
  <si>
    <t>24.11.3.9</t>
  </si>
  <si>
    <t>24.11.3.10</t>
  </si>
  <si>
    <t>24.11.4</t>
  </si>
  <si>
    <t>24.11.4.1</t>
  </si>
  <si>
    <t>24.11.4.2</t>
  </si>
  <si>
    <t>24.11.4.3</t>
  </si>
  <si>
    <t>24.11.4.4</t>
  </si>
  <si>
    <t>24.11.5</t>
  </si>
  <si>
    <t>24.11.5.1</t>
  </si>
  <si>
    <t>24.11.5.2</t>
  </si>
  <si>
    <t>24.11.5.3</t>
  </si>
  <si>
    <t>24.12</t>
  </si>
  <si>
    <t xml:space="preserve">ILUMINACION, TOMACORRIENTES, ALIMENTACIÓN CLIMATIZACIÓN  - TABLERO SECCIONAL NORMAL/EMERGENCIA QUINTO PISO - TSNE 5P </t>
  </si>
  <si>
    <t>24.12.1</t>
  </si>
  <si>
    <t>24.12.1.1</t>
  </si>
  <si>
    <t>24.12.1.2</t>
  </si>
  <si>
    <t>24.12.1.3</t>
  </si>
  <si>
    <t>24.12.1.4</t>
  </si>
  <si>
    <t>24.12.1.5</t>
  </si>
  <si>
    <t>24.12.1.6</t>
  </si>
  <si>
    <t>24.12.1.7</t>
  </si>
  <si>
    <t>24.12.1.8</t>
  </si>
  <si>
    <t>24.12.1.9</t>
  </si>
  <si>
    <t>24.12.1.10</t>
  </si>
  <si>
    <t>24.12.1.11</t>
  </si>
  <si>
    <t>24.12.1.12</t>
  </si>
  <si>
    <t>24.12.1.13</t>
  </si>
  <si>
    <t>24.12.1.14</t>
  </si>
  <si>
    <t>24.12.2</t>
  </si>
  <si>
    <t>24.12.2.1</t>
  </si>
  <si>
    <t>24.12.2.2</t>
  </si>
  <si>
    <t>24.12.2.3</t>
  </si>
  <si>
    <t>24.12.2.4</t>
  </si>
  <si>
    <t>24.12.2.5</t>
  </si>
  <si>
    <t>24.12.2.6</t>
  </si>
  <si>
    <t>24.12.2.7</t>
  </si>
  <si>
    <t>24.12.2.8</t>
  </si>
  <si>
    <t>24.12.2.9</t>
  </si>
  <si>
    <t>24.12.2.10</t>
  </si>
  <si>
    <t>24.12.2.11</t>
  </si>
  <si>
    <t>24.12.3</t>
  </si>
  <si>
    <t>24.12.3.1</t>
  </si>
  <si>
    <t>24.12.3.2</t>
  </si>
  <si>
    <t>24.12.3.3</t>
  </si>
  <si>
    <t>24.12.3.4</t>
  </si>
  <si>
    <t>24.12.3.5</t>
  </si>
  <si>
    <t>24.12.3.6</t>
  </si>
  <si>
    <t>24.12.3.7</t>
  </si>
  <si>
    <t>24.12.3.8</t>
  </si>
  <si>
    <t>24.12.3.9</t>
  </si>
  <si>
    <t>24.12.3.10</t>
  </si>
  <si>
    <t>24.12.4</t>
  </si>
  <si>
    <t>24.12.4.1</t>
  </si>
  <si>
    <t>24.12.4.2</t>
  </si>
  <si>
    <t>24.12.4.3</t>
  </si>
  <si>
    <t>24.12.4.4</t>
  </si>
  <si>
    <t>24.12.5</t>
  </si>
  <si>
    <t>24.12.5.1</t>
  </si>
  <si>
    <t>24.12.5.2</t>
  </si>
  <si>
    <t>24.12.5.3</t>
  </si>
  <si>
    <t>24.13</t>
  </si>
  <si>
    <t xml:space="preserve">ILUMINACION, TOMACORRIENTES, ALIMENTACIÓN CLIMATIZACIÓN  - TABLERO SECCIONAL NORMAL/EMERGENCIA AZOTEA - TSNE Az </t>
  </si>
  <si>
    <t>24.13.1</t>
  </si>
  <si>
    <t>24.13.1.1</t>
  </si>
  <si>
    <t>24.13.1.2</t>
  </si>
  <si>
    <t>24.13.1.3</t>
  </si>
  <si>
    <t>24.13.1.4</t>
  </si>
  <si>
    <t>24.13.1.5</t>
  </si>
  <si>
    <t>24.13.1.6</t>
  </si>
  <si>
    <t>24.13.1.7</t>
  </si>
  <si>
    <t>24.13.1.8</t>
  </si>
  <si>
    <t>24.13.1.9</t>
  </si>
  <si>
    <t>Interruptor 2P - 10A - Incluye, placa, modulo accesorios.</t>
  </si>
  <si>
    <t>24.13.1.10</t>
  </si>
  <si>
    <t>24.13.1.11</t>
  </si>
  <si>
    <t>24.13.1.12</t>
  </si>
  <si>
    <t>24.13.1.13</t>
  </si>
  <si>
    <t>24.13.1.14</t>
  </si>
  <si>
    <t>24.13.2</t>
  </si>
  <si>
    <t>24.13.2.1</t>
  </si>
  <si>
    <t>24.13.2.2</t>
  </si>
  <si>
    <t>24.13.2.3</t>
  </si>
  <si>
    <t>24.13.2.4</t>
  </si>
  <si>
    <t>24.13.2.5</t>
  </si>
  <si>
    <t>24.13.2.6</t>
  </si>
  <si>
    <t>24.13.2.7</t>
  </si>
  <si>
    <t>24.13.2.8</t>
  </si>
  <si>
    <t>24.13.2.9</t>
  </si>
  <si>
    <t>24.13.2.10</t>
  </si>
  <si>
    <t>24.13.2.11</t>
  </si>
  <si>
    <t>24.13.4</t>
  </si>
  <si>
    <t>24.13.4.1</t>
  </si>
  <si>
    <t>24.13.4.2</t>
  </si>
  <si>
    <t>24.13.4.3</t>
  </si>
  <si>
    <t>24.13.4.4</t>
  </si>
  <si>
    <t>24.13.5</t>
  </si>
  <si>
    <t>24.13.5.1</t>
  </si>
  <si>
    <t>24.13.5.2</t>
  </si>
  <si>
    <t>24.14</t>
  </si>
  <si>
    <t xml:space="preserve">ILUMINACION, TOMACORRIENTES, ALIMENTACIÓN CLIMATIZACIÓN  - TABLERO SECCIONAL EMERGENCIA ASCENSORES - TSE Asc </t>
  </si>
  <si>
    <t>24.14.1</t>
  </si>
  <si>
    <t>ILUMINACION EN CAJA DE ASCENSORES - Rosario de luces para manteniemiento</t>
  </si>
  <si>
    <t>24.14.1.1</t>
  </si>
  <si>
    <t>24.14.1.2</t>
  </si>
  <si>
    <t>24.14.1.3</t>
  </si>
  <si>
    <t>24.14.1.4</t>
  </si>
  <si>
    <t>24.14.1.5</t>
  </si>
  <si>
    <t>24.14.1.6</t>
  </si>
  <si>
    <t>Artefacto de Iluminación TIPO 16</t>
  </si>
  <si>
    <t>24.14.1.7</t>
  </si>
  <si>
    <t>24.14.2</t>
  </si>
  <si>
    <t>TOMACORRIENTE EN CAJA DE ASCENSORES - Rosario de tomacorrientes para manteniemiento</t>
  </si>
  <si>
    <t>24.14.2.1</t>
  </si>
  <si>
    <t>24.14.2.2</t>
  </si>
  <si>
    <t>24.14.2.3</t>
  </si>
  <si>
    <t>24.14.2.4</t>
  </si>
  <si>
    <t>24.14.2.5</t>
  </si>
  <si>
    <t>24.14.2.6</t>
  </si>
  <si>
    <t>Tomacorriente Americano c/ Tierra 10 A - FN+T</t>
  </si>
  <si>
    <t>24.14.2.7</t>
  </si>
  <si>
    <t>24.14.3</t>
  </si>
  <si>
    <t xml:space="preserve">EQUIPOS, ASCENSORES.  </t>
  </si>
  <si>
    <t>24.14.3.1</t>
  </si>
  <si>
    <t>Conductor 4x4 mm2 XLPE F-N</t>
  </si>
  <si>
    <t>24.14.3.2</t>
  </si>
  <si>
    <t>24.14.3.3</t>
  </si>
  <si>
    <t>24.14.3.4</t>
  </si>
  <si>
    <t>24.14.3.5</t>
  </si>
  <si>
    <t>24.15</t>
  </si>
  <si>
    <t xml:space="preserve">ILUMINACION, TOMACORRIENTES, ALIMENTACIÓN CLIMATIZACIÓN  - TABLERO SECCIONAL EMERGENCIA PRESURIZADORES - TSE Pres </t>
  </si>
  <si>
    <t>24.15.1</t>
  </si>
  <si>
    <t xml:space="preserve">EQUIPOS, PRESURIZADORES.  </t>
  </si>
  <si>
    <t>24.15.1.1</t>
  </si>
  <si>
    <t>Conductor 4x6 mm2 NYY F-N</t>
  </si>
  <si>
    <t>24.15.1.2</t>
  </si>
  <si>
    <t xml:space="preserve">Conductor 1x4 mm2 NYA T - Verde/Amarillo </t>
  </si>
  <si>
    <t>24.15.1.3</t>
  </si>
  <si>
    <t>24.15.1.4</t>
  </si>
  <si>
    <t>24.15.1.5</t>
  </si>
  <si>
    <t>24.16</t>
  </si>
  <si>
    <t xml:space="preserve">ILUMINACION, TOMACORRIENTES, ALIMENTACIÓN CLIMATIZACIÓN  - TABLERO PRINCIPAL NORMAL/EMERGENCIA SALA TECNICA - TPNE ST </t>
  </si>
  <si>
    <t>24.16.1</t>
  </si>
  <si>
    <t>24.16.1.1</t>
  </si>
  <si>
    <t>24.16.1.2</t>
  </si>
  <si>
    <t>24.16.1.3</t>
  </si>
  <si>
    <t>24.16.1.4</t>
  </si>
  <si>
    <t>24.16.1.5</t>
  </si>
  <si>
    <t>24.16.1.6</t>
  </si>
  <si>
    <t>24.16.1.7</t>
  </si>
  <si>
    <t>24.16.1.8</t>
  </si>
  <si>
    <t>24.16.1.9</t>
  </si>
  <si>
    <t>24.16.1.10</t>
  </si>
  <si>
    <t>24.16.1.11</t>
  </si>
  <si>
    <t>24.16.1.12</t>
  </si>
  <si>
    <t>24.16.2</t>
  </si>
  <si>
    <t>TOMACORRIENTE - PUESTOS DE TRABAJO</t>
  </si>
  <si>
    <t>24.16.2.1</t>
  </si>
  <si>
    <t>24.16.2.2</t>
  </si>
  <si>
    <t>24.16.2.3</t>
  </si>
  <si>
    <t>24.16.2.4</t>
  </si>
  <si>
    <t>24.16.2.5</t>
  </si>
  <si>
    <t>24.16.2.6</t>
  </si>
  <si>
    <t>24.16.2.7</t>
  </si>
  <si>
    <t>24.16.2.8</t>
  </si>
  <si>
    <t>24.16.2.9</t>
  </si>
  <si>
    <t>24.16.3</t>
  </si>
  <si>
    <t>EQUIPOS DE CLIMATIZACION - EXTRACTORES - SECAMANOS - BOMBAS SUMIDEROS - BOMBAS DE FUENTE MOTOR PORTON</t>
  </si>
  <si>
    <t>24.16.3.1</t>
  </si>
  <si>
    <t>24.16.3.2</t>
  </si>
  <si>
    <t>24.16.3.3</t>
  </si>
  <si>
    <t>Conductor 4x10 mm2 XLPE F-N</t>
  </si>
  <si>
    <t>24.16.3.4</t>
  </si>
  <si>
    <t xml:space="preserve">Conductor 1x2.5 mm2 Multifilar T - Verde/Amarillo </t>
  </si>
  <si>
    <t>24.16.3.5</t>
  </si>
  <si>
    <t>24.16.3.6</t>
  </si>
  <si>
    <t>24.16.3.7</t>
  </si>
  <si>
    <t>24.16.4</t>
  </si>
  <si>
    <t>24.16.4.1</t>
  </si>
  <si>
    <t>24.16.4.2</t>
  </si>
  <si>
    <t>24.16.4.3</t>
  </si>
  <si>
    <t>24.16.4.4</t>
  </si>
  <si>
    <t>24.17</t>
  </si>
  <si>
    <t xml:space="preserve">ILUMINACION, TOMACORRIENTES, ALIMENTACIÓN CLIMATIZACIÓN  - TABLERO PRINCIPAL NORMAL/EMERGENCIA BLOQUE E - TPNE BE </t>
  </si>
  <si>
    <t>24.17.1</t>
  </si>
  <si>
    <t>24.17.1.1</t>
  </si>
  <si>
    <t>24.17.1.2</t>
  </si>
  <si>
    <t>24.17.1.3</t>
  </si>
  <si>
    <t>24.17.1.4</t>
  </si>
  <si>
    <t>24.17.1.5</t>
  </si>
  <si>
    <t>24.17.1.6</t>
  </si>
  <si>
    <t>24.17.1.7</t>
  </si>
  <si>
    <t>24.17.1.8</t>
  </si>
  <si>
    <t>24.17.1.9</t>
  </si>
  <si>
    <t>24.17.1.10</t>
  </si>
  <si>
    <t>24.17.1.11</t>
  </si>
  <si>
    <t>24.17.1.12</t>
  </si>
  <si>
    <t>24.17.1.13</t>
  </si>
  <si>
    <t>24.17.1.14</t>
  </si>
  <si>
    <t>24.17.1.15</t>
  </si>
  <si>
    <t>Artefacto de Iluminación TIPO 11</t>
  </si>
  <si>
    <t>Artefacto de Iluminación TIPO 13</t>
  </si>
  <si>
    <t>Artefacto de Iluminación TIPO 14</t>
  </si>
  <si>
    <t>24.17.2</t>
  </si>
  <si>
    <t>24.17.2.1</t>
  </si>
  <si>
    <t>24.17.2.2</t>
  </si>
  <si>
    <t>24.17.2.3</t>
  </si>
  <si>
    <t>24.17.2.4</t>
  </si>
  <si>
    <t>24.17.2.5</t>
  </si>
  <si>
    <t>24.17.2.6</t>
  </si>
  <si>
    <t>24.17.2.7</t>
  </si>
  <si>
    <t>24.17.2.8</t>
  </si>
  <si>
    <t>24.17.2.9</t>
  </si>
  <si>
    <t>24.17.2.10</t>
  </si>
  <si>
    <t>24.17.3</t>
  </si>
  <si>
    <t>24.17.3.1</t>
  </si>
  <si>
    <t>24.17.3.2</t>
  </si>
  <si>
    <t>24.17.3.3</t>
  </si>
  <si>
    <t>24.17.3.4</t>
  </si>
  <si>
    <t>24.17.3.5</t>
  </si>
  <si>
    <t>24.17.3.6</t>
  </si>
  <si>
    <t>24.17.3.7</t>
  </si>
  <si>
    <t>24.17.3.8</t>
  </si>
  <si>
    <t>24.17.3.9</t>
  </si>
  <si>
    <t>24.17.3.10</t>
  </si>
  <si>
    <t>24.17.4</t>
  </si>
  <si>
    <t>24.17.4.1</t>
  </si>
  <si>
    <t>24.17.4.2</t>
  </si>
  <si>
    <t>24.17.4.3</t>
  </si>
  <si>
    <t>24.17.4.4</t>
  </si>
  <si>
    <t>24.17.5</t>
  </si>
  <si>
    <t>24.17.5.1</t>
  </si>
  <si>
    <t>24.17.5.2</t>
  </si>
  <si>
    <t>24.17.5.3</t>
  </si>
  <si>
    <t>24.18</t>
  </si>
  <si>
    <t xml:space="preserve">ILUMINACION, TOMACORRIENTES, ALIMENTACIÓN CLIMATIZACIÓN  - TABLERO SECCIONAL NORMAL/EMERGENCIA CAFETERIA - TPNE Caf </t>
  </si>
  <si>
    <t>24.18.1</t>
  </si>
  <si>
    <t>24.18.1.1</t>
  </si>
  <si>
    <t>24.18.1.2</t>
  </si>
  <si>
    <t>24.18.1.3</t>
  </si>
  <si>
    <t>24.18.1.4</t>
  </si>
  <si>
    <t>24.18.1.5</t>
  </si>
  <si>
    <t>24.18.1.6</t>
  </si>
  <si>
    <t>24.18.1.7</t>
  </si>
  <si>
    <t>24.18.1.8</t>
  </si>
  <si>
    <t>24.18.1.9</t>
  </si>
  <si>
    <t>24.18.1.10</t>
  </si>
  <si>
    <t>24.18.1.11</t>
  </si>
  <si>
    <t>24.18.1.12</t>
  </si>
  <si>
    <t>24.18.1.13</t>
  </si>
  <si>
    <t>24.18.1.14</t>
  </si>
  <si>
    <t>Artefacto de Iluminación TIPO 9</t>
  </si>
  <si>
    <t>24.18.1.15</t>
  </si>
  <si>
    <t>24.18.2</t>
  </si>
  <si>
    <t>24.18.2.1</t>
  </si>
  <si>
    <t>24.18.2.2</t>
  </si>
  <si>
    <t>24.18.2.3</t>
  </si>
  <si>
    <t>24.18.2.4</t>
  </si>
  <si>
    <t>24.18.2.5</t>
  </si>
  <si>
    <t>24.18.2.6</t>
  </si>
  <si>
    <t>24.18.2.7</t>
  </si>
  <si>
    <t>24.18.2.8</t>
  </si>
  <si>
    <t>24.18.2.9</t>
  </si>
  <si>
    <t>24.18.2.10</t>
  </si>
  <si>
    <t>24.18.2.11</t>
  </si>
  <si>
    <t>24.18.3</t>
  </si>
  <si>
    <t>EQUIPOS DE CLIMATIZACION - CAMPANAS - INYECTORES - EXTRACTORES</t>
  </si>
  <si>
    <t>24.18.3.1</t>
  </si>
  <si>
    <t>24.18.3.2</t>
  </si>
  <si>
    <t>24.18.3.3</t>
  </si>
  <si>
    <t>24.18.3.4</t>
  </si>
  <si>
    <t>24.18.3.5</t>
  </si>
  <si>
    <t>24.18.3.6</t>
  </si>
  <si>
    <t>24.18.3.7</t>
  </si>
  <si>
    <t>24.18.3.8</t>
  </si>
  <si>
    <t>24.18.3.9</t>
  </si>
  <si>
    <t>24.18.3.10</t>
  </si>
  <si>
    <t>24.18.4</t>
  </si>
  <si>
    <t>24.18.4.1</t>
  </si>
  <si>
    <t>24.18.4.2</t>
  </si>
  <si>
    <t>24.18.4.3</t>
  </si>
  <si>
    <t>24.18.4.4</t>
  </si>
  <si>
    <t>24.18.5</t>
  </si>
  <si>
    <t>24.18.5.1</t>
  </si>
  <si>
    <t>24.18.5.2</t>
  </si>
  <si>
    <t>24.18.5.3</t>
  </si>
  <si>
    <t>24.19</t>
  </si>
  <si>
    <t xml:space="preserve">ILUMINACION, TABLERO SECCIONAL EMERGENCIA ILUMINACION EXTERIOR - TPE IE </t>
  </si>
  <si>
    <t>24.19.1</t>
  </si>
  <si>
    <t>24.19.1.1</t>
  </si>
  <si>
    <t>24.19.1.2</t>
  </si>
  <si>
    <t>24.19.1.3</t>
  </si>
  <si>
    <t>24.19.1.4</t>
  </si>
  <si>
    <t>24.19.1.5</t>
  </si>
  <si>
    <t>24.19.1.6</t>
  </si>
  <si>
    <t>Caño electroducto liso de Polietileno 1"</t>
  </si>
  <si>
    <t>24.19.1.7</t>
  </si>
  <si>
    <t>Caño electroducto liso de Polietileno 2"</t>
  </si>
  <si>
    <t>24.19.1.8</t>
  </si>
  <si>
    <t xml:space="preserve">Excavaciones subterranes </t>
  </si>
  <si>
    <t>24.19.1.9</t>
  </si>
  <si>
    <t xml:space="preserve">Registros Electricos </t>
  </si>
  <si>
    <t>24.19.1.10</t>
  </si>
  <si>
    <t>24.19.1.11</t>
  </si>
  <si>
    <t>Toma corriente estabilizada para exterior IP65 para instalaciones en columnas</t>
  </si>
  <si>
    <t>24.19.1.12</t>
  </si>
  <si>
    <t xml:space="preserve">Accesorios, materiales menores para correcto funcionamiento </t>
  </si>
  <si>
    <t>24.19.1.13</t>
  </si>
  <si>
    <t xml:space="preserve">Art de ilum. TIPO 2 </t>
  </si>
  <si>
    <t>24.19.1.14</t>
  </si>
  <si>
    <t>Art de ilum. TIPO 4</t>
  </si>
  <si>
    <t>24.19.1.15</t>
  </si>
  <si>
    <t>Art de ilum. TIPO 7</t>
  </si>
  <si>
    <t>24.19.1.16</t>
  </si>
  <si>
    <t>Art de ilum. TIPO 10</t>
  </si>
  <si>
    <t>24.19.1.17</t>
  </si>
  <si>
    <t>Art de ilum. TIPO 15</t>
  </si>
  <si>
    <t>24.19.1.18</t>
  </si>
  <si>
    <t>Art de ilum. TIPO 17</t>
  </si>
  <si>
    <t>24.19.1.19</t>
  </si>
  <si>
    <t>Art de ilum. TIPO 18</t>
  </si>
  <si>
    <t>24.19.1.20</t>
  </si>
  <si>
    <t>Art de ilum. TIPO 19</t>
  </si>
  <si>
    <t>24.19.1.21</t>
  </si>
  <si>
    <t>Art de ilum. TIPO 20</t>
  </si>
  <si>
    <t>24.19.1.22</t>
  </si>
  <si>
    <t>Art de ilum. TIPO 21</t>
  </si>
  <si>
    <t>24.19.1.23</t>
  </si>
  <si>
    <t>Art de ilum. TIPO 22</t>
  </si>
  <si>
    <t>24.19.1.24</t>
  </si>
  <si>
    <t>Art de ilum. TIPO 23</t>
  </si>
  <si>
    <t>24.19.1.25</t>
  </si>
  <si>
    <t>Art de ilum. TIPO 24</t>
  </si>
  <si>
    <t>24.19.1.26</t>
  </si>
  <si>
    <t>Art de ilum. TIPO 25</t>
  </si>
  <si>
    <t>24.19.1.27</t>
  </si>
  <si>
    <t>Art de ilum. TIPO 26</t>
  </si>
  <si>
    <t>24.19.1.28</t>
  </si>
  <si>
    <t>Art de ilum. TIPO 27</t>
  </si>
  <si>
    <t>24.19.1.29</t>
  </si>
  <si>
    <t>Art de ilum. TIPO 28</t>
  </si>
  <si>
    <t>24.19.1.30</t>
  </si>
  <si>
    <t>Art de ilum. TIPO 29</t>
  </si>
  <si>
    <t>24.19.1.31</t>
  </si>
  <si>
    <t>Art de ilum. TIPO 30</t>
  </si>
  <si>
    <t>24.19.1.32</t>
  </si>
  <si>
    <t>Art de ilum. TIPO 31</t>
  </si>
  <si>
    <t>24.20</t>
  </si>
  <si>
    <t>TABLEROS DE CONTROL DE BOMBAS, BOMBAS, EQUIPOS ELECTROMECANICOS - TABLERO PRINCIPAL EMERGENCIA BOMBAS DE AGUA CORRIENTE - TPE BAC</t>
  </si>
  <si>
    <t>24.20.1</t>
  </si>
  <si>
    <t>TABLEROS DE CONTROL DE BOMBAS</t>
  </si>
  <si>
    <t>24.20.1.1</t>
  </si>
  <si>
    <t>24.20.1.2</t>
  </si>
  <si>
    <t>24.20.1.3</t>
  </si>
  <si>
    <t xml:space="preserve">Cañeria PVC 100 mm </t>
  </si>
  <si>
    <t>24.20.1.4</t>
  </si>
  <si>
    <t xml:space="preserve">Accesorios de montaje, registros, tapas registros. </t>
  </si>
  <si>
    <t>24.20.2</t>
  </si>
  <si>
    <t xml:space="preserve">BOMBAS, EQUIPOS ELECTROMECANICOS </t>
  </si>
  <si>
    <t>24.20.2.1</t>
  </si>
  <si>
    <t>Conductor 4x4 mm2 NYY F-N</t>
  </si>
  <si>
    <t>24.20.2.2</t>
  </si>
  <si>
    <t>24.20.2.3</t>
  </si>
  <si>
    <t>Caja de conexion octogonal metalica</t>
  </si>
  <si>
    <t>24.20.2.4</t>
  </si>
  <si>
    <t>Electroducto metalico corrugado 1''</t>
  </si>
  <si>
    <t>24.20.2.5</t>
  </si>
  <si>
    <t>24.20.3</t>
  </si>
  <si>
    <t>24.20.3.1</t>
  </si>
  <si>
    <t>24.20.3.2</t>
  </si>
  <si>
    <t>24.21</t>
  </si>
  <si>
    <t>TABLEROS DE CONTROL DE BOMBAS, BOMBAS, EQUIPOS ELECTROMECANICOS - TABLERO PRINCIPAL EMERGENCIA BOMBAS DE AGUA CORRIENTE - TPE PCI</t>
  </si>
  <si>
    <t>24.21.1</t>
  </si>
  <si>
    <t>24.21.1.1</t>
  </si>
  <si>
    <t>Conductor 4x1x50 mm2 XLPE F-N</t>
  </si>
  <si>
    <t>24.21.1.2</t>
  </si>
  <si>
    <t>Conductor 1x50 mm2 XLPE F-N</t>
  </si>
  <si>
    <t>24.21.1.3</t>
  </si>
  <si>
    <t>24.21.1.4</t>
  </si>
  <si>
    <t>24.21.2</t>
  </si>
  <si>
    <t xml:space="preserve">BOMBAS, PRESURIZADORES </t>
  </si>
  <si>
    <t>24.21.2.1</t>
  </si>
  <si>
    <t>Conductor 4x10 mm2 NYY F-N</t>
  </si>
  <si>
    <t>24.21.2.2</t>
  </si>
  <si>
    <t>Conductor 1x10 mm2 NYY F-N</t>
  </si>
  <si>
    <t>24.21.2.3</t>
  </si>
  <si>
    <t>24.21.2.4</t>
  </si>
  <si>
    <t>Conductor 1x4 mm2 NYY F-N</t>
  </si>
  <si>
    <t>24.21.2.5</t>
  </si>
  <si>
    <t>24.21.2.6</t>
  </si>
  <si>
    <t>24.21.2.7</t>
  </si>
  <si>
    <t>24.21.3</t>
  </si>
  <si>
    <t>24.21.3.1</t>
  </si>
  <si>
    <t>24.21.3.2</t>
  </si>
  <si>
    <t>24.22</t>
  </si>
  <si>
    <t>TABLEROS DE CONTROL DE BOMBAS, BOMBAS, EQUIPOS ELECTROMECANICOS - TABLERO PRINCIPAL NORMAL BOMBAS DE AGUAS PRINCIPALES/SECUNDARIAS - TPN Cli - TSN B12</t>
  </si>
  <si>
    <t>24.22.1</t>
  </si>
  <si>
    <t>24.22.1.1</t>
  </si>
  <si>
    <t>24.22.1.2</t>
  </si>
  <si>
    <t xml:space="preserve">Conductor 1x10 mm2 Multifilar T - Verde/Amarillo </t>
  </si>
  <si>
    <t>24.22.1.3</t>
  </si>
  <si>
    <t>24.22.1.4</t>
  </si>
  <si>
    <t>24.22.1.5</t>
  </si>
  <si>
    <t>24.22.2</t>
  </si>
  <si>
    <t xml:space="preserve">CHILLERS </t>
  </si>
  <si>
    <t>24.22.2.1</t>
  </si>
  <si>
    <t>Conductor 4X1x120 mm2 XLPE</t>
  </si>
  <si>
    <t>24.22.2.2</t>
  </si>
  <si>
    <t xml:space="preserve">Conductor 1x50 mm2 XLPE </t>
  </si>
  <si>
    <t>24.22.2.3</t>
  </si>
  <si>
    <t>24.22.3</t>
  </si>
  <si>
    <t>24.22.3.1</t>
  </si>
  <si>
    <t>24.22.3.2</t>
  </si>
  <si>
    <t>24.23</t>
  </si>
  <si>
    <t xml:space="preserve">SISTEMA DE PUESTA A TIERRA Y PARARRAYOS </t>
  </si>
  <si>
    <t>24.23.1</t>
  </si>
  <si>
    <t>Conductor de cobre desnudo 50mm2</t>
  </si>
  <si>
    <t>24.23.2</t>
  </si>
  <si>
    <t>Conductor de cobre desnudo 25mm2</t>
  </si>
  <si>
    <t>24.23.3</t>
  </si>
  <si>
    <t>Jabalina  "coperweld" Ø3/4" x 2.4 m. Alta camada</t>
  </si>
  <si>
    <t>24.23.4</t>
  </si>
  <si>
    <t>Soldadura exotérmica</t>
  </si>
  <si>
    <t>24.23.5</t>
  </si>
  <si>
    <t xml:space="preserve">Tablero metalico y Barra equipotencial </t>
  </si>
  <si>
    <t>24.23.6</t>
  </si>
  <si>
    <t xml:space="preserve">Via de Chispas </t>
  </si>
  <si>
    <t>24.23.7</t>
  </si>
  <si>
    <t>Pararrayo PDC con dispositivo de cebado</t>
  </si>
  <si>
    <t>24.23.8</t>
  </si>
  <si>
    <t>Registro de mampostería 4x40x60cm</t>
  </si>
  <si>
    <t>24.23.9</t>
  </si>
  <si>
    <t>Torre para soportes de pararrayo</t>
  </si>
  <si>
    <t>24.23.10</t>
  </si>
  <si>
    <t>Accesorios para montaje de conductores de bajadas</t>
  </si>
  <si>
    <t>24.24</t>
  </si>
  <si>
    <t xml:space="preserve">BANDEJADO ELECTRICO VERTICAL EN MONTANTES </t>
  </si>
  <si>
    <t>24.24.1</t>
  </si>
  <si>
    <t>24.24.2</t>
  </si>
  <si>
    <t>24.24.3</t>
  </si>
  <si>
    <t>24.24.4</t>
  </si>
  <si>
    <t>24.25</t>
  </si>
  <si>
    <t>BANDEJAS PARA SEÑALES DEBILES</t>
  </si>
  <si>
    <t>25</t>
  </si>
  <si>
    <t>Y</t>
  </si>
  <si>
    <t xml:space="preserve">INSTALACIONES ESPECIALES </t>
  </si>
  <si>
    <t>25.1</t>
  </si>
  <si>
    <t>Y.1</t>
  </si>
  <si>
    <t>EXTINCION DE INCENDIOS</t>
  </si>
  <si>
    <t>25.1.1</t>
  </si>
  <si>
    <t>Boca de Incendio Equipada - BIE</t>
  </si>
  <si>
    <t>25.1.2</t>
  </si>
  <si>
    <t>Boca de Incendio Siamesa - BIS</t>
  </si>
  <si>
    <t>25.1.3</t>
  </si>
  <si>
    <t>Rociadores 1/2" (MONTANTE). Incluye cañeria flexible de 1" para la conexión al caño galvanizado, soporte de montaje para cielorraso y pico de 1/2" para instalacion de rociador.</t>
  </si>
  <si>
    <t>25.1.4</t>
  </si>
  <si>
    <t>Rociadores 1/2" (COLGANTETE)</t>
  </si>
  <si>
    <t>25.1.5</t>
  </si>
  <si>
    <t>Tuberia H°G° de 4"</t>
  </si>
  <si>
    <t>25.1.6</t>
  </si>
  <si>
    <t>Tuberia H°G° de 3"</t>
  </si>
  <si>
    <t>25.1.7</t>
  </si>
  <si>
    <t>Tuberia H°G° de 2 1/2"</t>
  </si>
  <si>
    <t>25.1.8</t>
  </si>
  <si>
    <t>Tubería H°G° de 1"</t>
  </si>
  <si>
    <t>25.1.9</t>
  </si>
  <si>
    <t>Tubería red rociadores de  H° G°  de  2"</t>
  </si>
  <si>
    <t>25.1.10</t>
  </si>
  <si>
    <t>Planchuelas de soporte - confeción y colocación</t>
  </si>
  <si>
    <t>25.1.11</t>
  </si>
  <si>
    <t>Buje de Reduccion de 4" a 2" H° G°</t>
  </si>
  <si>
    <t>25.1.12</t>
  </si>
  <si>
    <t>Tee de Reducción de 2" a 1" H° G° (TEE MECANICA)</t>
  </si>
  <si>
    <t>25.1.13</t>
  </si>
  <si>
    <t>Tee de Reducción de 4" a 2" H° G° (TEE MECANICA)</t>
  </si>
  <si>
    <t>25.1.14</t>
  </si>
  <si>
    <t>Tee de Reducción de 4" a 1" H° G° (TEE MECANICA)</t>
  </si>
  <si>
    <t>25.1.15</t>
  </si>
  <si>
    <t>Codo90° 2" H° G°</t>
  </si>
  <si>
    <t>25.1.16</t>
  </si>
  <si>
    <t>Unión de 1" H° G° (ACOPLE)</t>
  </si>
  <si>
    <t>25.1.17</t>
  </si>
  <si>
    <t>Unión de 4" H° G° (ACOPLE)</t>
  </si>
  <si>
    <t>25.1.18</t>
  </si>
  <si>
    <t>Unión de 3" H° G° (ACOPLE)</t>
  </si>
  <si>
    <t>25.1.19</t>
  </si>
  <si>
    <t>Unión de 2 1/2" H° G° (ACOPLE)</t>
  </si>
  <si>
    <t>25.1.20</t>
  </si>
  <si>
    <t>Unión de 4" H° G° (FLEXIBLE)</t>
  </si>
  <si>
    <t>25.1.21</t>
  </si>
  <si>
    <t>Valvula de Retención de 4"</t>
  </si>
  <si>
    <t>25.1.22</t>
  </si>
  <si>
    <t xml:space="preserve">Valvula de Cierre de 4" </t>
  </si>
  <si>
    <t>25.1.23</t>
  </si>
  <si>
    <t>SUMINISTRO, TRANSPORTE, INSTALACION, Y PUESTA EN MARCHA DE TRES BOMBAS DE USO ALTERNO (2+1)  CON CAPACIDAD DE 84M3/H Y MOTORES DE 30 HP. CARGA HIDRAULICA 61m. MARCA LOWARA MODELO FH50-250/220 O EQUIVALENTE. INCLUYE: CAUDALIMETRO, SENSOR DE FLUJO, MANOMETROS, TABLERO DE CONTROL</t>
  </si>
  <si>
    <t>25.1.24</t>
  </si>
  <si>
    <t>SUMINISTRO, TRANSPORTE, INSTALACION, Y PUESTA EN MARCHA DE UNA BOMBA JOCKEY  CON CAPACIDAD DE 7,2M3/H Y MOTORES DE 6 HP. CARGA HIDRAULICA 72,1m. MARCA LOWARA MODELO 5SV16 O EQUIVALENTE. INCLUYE: CAUDALIMETRO, SENSOR DE FLUJO, MANOMETROS, TABLERO DE CONTROL</t>
  </si>
  <si>
    <t>25.1.25</t>
  </si>
  <si>
    <t xml:space="preserve">Colocacion de pasante de HG en tanque </t>
  </si>
  <si>
    <t>25.1.26</t>
  </si>
  <si>
    <t xml:space="preserve">Collarin de tanque de agua consumo diario  </t>
  </si>
  <si>
    <t>25.1.27</t>
  </si>
  <si>
    <t>Manometro</t>
  </si>
  <si>
    <t>25.1.28</t>
  </si>
  <si>
    <t>Tubería de 4" impulsión y succion</t>
  </si>
  <si>
    <t>25.1.29</t>
  </si>
  <si>
    <t>Tubería de 3" impulsión y succion</t>
  </si>
  <si>
    <t>25.2</t>
  </si>
  <si>
    <t>Y.2</t>
  </si>
  <si>
    <t>CLIMATIZACIÓN Y VENTILACIÓN FORZADA</t>
  </si>
  <si>
    <t>25.2.1</t>
  </si>
  <si>
    <t>Ayuda de gremios para UMAS, FAN COILS, VENTILADORES y EQUIPOS SPLITS  del sistema de climatizaciópn del SUBSUELO 2: Cajas, tableros y canalizaciones</t>
  </si>
  <si>
    <t>25.2.2</t>
  </si>
  <si>
    <t>Ayuda de gremios para UMAS, FAN COILS, VENTILADORES y EQUIPOS SPLITSdel sistema de climatización del SUBSUELO 1, ESTACIONAMIENTOS Y SUBSUELOS DEL BLOQUE E : Cajas, tableros y canalizaciones</t>
  </si>
  <si>
    <t>25.2.3</t>
  </si>
  <si>
    <t>Ayuda de gremios para UMAS, FAN COILS y VENTILADORES del sistema de climatización del BLOQUE A desde Planta Baja al Septimo Nivel: Cajas, tableros y canalizaciones.</t>
  </si>
  <si>
    <t>25.2.4</t>
  </si>
  <si>
    <t>Ayuda de gremios para UMAS, FAN COILS y VENTILADORES del sistema de climatización del BLOQUE B desde Planta Baja al Octavo Nivel: Cajas, tableros y canalizaciones.</t>
  </si>
  <si>
    <t>25.2.5</t>
  </si>
  <si>
    <t>Ayuda de gremios para UMAS, FAN COILS y VENTILADORES del sistema de climatización del BLOQUE C desde Planta Baja al Tercer Nivel: Cajas, tableros y canalizaciones.</t>
  </si>
  <si>
    <t>25.2.6</t>
  </si>
  <si>
    <t>Ayuda de gremios para UMAS, FAN COILS y VENTILADORES del sistema de climatización del BLOQUE D desde Planta Baja al Quinto Nivel: Cajas, tableros y canalizaciones.</t>
  </si>
  <si>
    <t>25.2.7</t>
  </si>
  <si>
    <t>Ayuda de gremios para UMAS, FAN COILS y VENTILADORES del sistema de climatización del BLOQUE D Planta Baja: Cajas, tableros y canalizaciones.</t>
  </si>
  <si>
    <t>25.3</t>
  </si>
  <si>
    <t>Y.3</t>
  </si>
  <si>
    <t>SEGURIDAD ELECTRÓNICA</t>
  </si>
  <si>
    <t>25.3.1</t>
  </si>
  <si>
    <t>Cajas y canalizaciones en Subsuelo 2</t>
  </si>
  <si>
    <t>25.3.2</t>
  </si>
  <si>
    <t>Cajas y canalizaciones en Subsuelo 1, Estacionamientos y subsuelos del Bloque E</t>
  </si>
  <si>
    <t>25.3.3</t>
  </si>
  <si>
    <t xml:space="preserve">Cajas y canalizaciones en el Bloque A desde Planta Baja al Septimo Nivel </t>
  </si>
  <si>
    <t>25.3.4</t>
  </si>
  <si>
    <t xml:space="preserve">Cajas y canalizaciones en el Bloque B desde Planta Baja al Octavo Nivel </t>
  </si>
  <si>
    <t>25.3.5</t>
  </si>
  <si>
    <t xml:space="preserve">Cajas y canalizaciones en el Bloque C desde Planta Baja al Tercer Nivel </t>
  </si>
  <si>
    <t>25.3.6</t>
  </si>
  <si>
    <t xml:space="preserve">Cajas y canalizaciones en el Bloque D desde Planta Baja al Quinto Nivel </t>
  </si>
  <si>
    <t>25.3.7</t>
  </si>
  <si>
    <t xml:space="preserve">Cajas y canalizaciones en el Bloque E Planta Baja  </t>
  </si>
  <si>
    <t>25.3.8</t>
  </si>
  <si>
    <t>Cajas y canalizaciones en Fachadas y Exteriores</t>
  </si>
  <si>
    <t>25.4</t>
  </si>
  <si>
    <t>Y.4</t>
  </si>
  <si>
    <t>COMUNICACIÓN ORAL Y MÚSICA FUNCIONAL</t>
  </si>
  <si>
    <t>25.4.1</t>
  </si>
  <si>
    <t>25.4.2</t>
  </si>
  <si>
    <t>25.4.3</t>
  </si>
  <si>
    <t>25.4.4</t>
  </si>
  <si>
    <t>25.4.5</t>
  </si>
  <si>
    <t>25.4.6</t>
  </si>
  <si>
    <t>25.4.7</t>
  </si>
  <si>
    <t>25.4.8</t>
  </si>
  <si>
    <t>25.5</t>
  </si>
  <si>
    <t>Y.5 - Y.6</t>
  </si>
  <si>
    <t>INSTALACIÓN TELEFÓNICA Y DATOS</t>
  </si>
  <si>
    <t>25.5.1</t>
  </si>
  <si>
    <t>Acometida de Líneas Telefónicas: Columna de H° Tipo AP, ducto de caño galvanizado de 4" adosada a la columna, dos registros 40x40 con tapa de Hº, ductos de polietileno de 4" de diametro cajas y canalizaciones desde columna hasta Sala de Control.</t>
  </si>
  <si>
    <t>25.5.2</t>
  </si>
  <si>
    <t xml:space="preserve">Acometida subterranea para Red de Datos: Ducto de polietileno de 4" de diametro desde registro previsto para telefono ubicado al pie de columna de entrada, hasta Sala de Control. </t>
  </si>
  <si>
    <t>25.5.3</t>
  </si>
  <si>
    <t>25.5.4</t>
  </si>
  <si>
    <t>25.5.5</t>
  </si>
  <si>
    <t>25.5.6</t>
  </si>
  <si>
    <t>25.5.7</t>
  </si>
  <si>
    <t>25.5.8</t>
  </si>
  <si>
    <t>25.5.9</t>
  </si>
  <si>
    <t>25.5.10</t>
  </si>
  <si>
    <t>Cajas para tomas telefónicas RJ11</t>
  </si>
  <si>
    <t>25.5.11</t>
  </si>
  <si>
    <t>Cajas par Datos RJ45</t>
  </si>
  <si>
    <t>25.6</t>
  </si>
  <si>
    <t>Y.7</t>
  </si>
  <si>
    <t>ASCENSORES</t>
  </si>
  <si>
    <t>25.6.1</t>
  </si>
  <si>
    <t>Cajas y canalización para Alimentación Eléctrica, Mandos y Señalizaciones para todas las unidades de Ascensores en sus respectivas Cajas y conexiones hasta la Sala de Control.</t>
  </si>
  <si>
    <t>25.6.2</t>
  </si>
  <si>
    <t>Ganchos metálicos de Montaje en cada Caja de Ascensor</t>
  </si>
  <si>
    <t>25.6.3</t>
  </si>
  <si>
    <t>Escalera para acceso a foso, tipo marinero, en planchuelas de acero de 1 1/2"x3/16", acabado con esmalte Grafito Claro en cada Caja de Ascesor</t>
  </si>
  <si>
    <t>25.7</t>
  </si>
  <si>
    <t>Y.8</t>
  </si>
  <si>
    <t>GENERADOR DE EMERGENCIA</t>
  </si>
  <si>
    <t>25.7.1</t>
  </si>
  <si>
    <t>Cajas y canalización para Generador de Emergencia</t>
  </si>
  <si>
    <t>25.7.2</t>
  </si>
  <si>
    <t>Accesorios para Sala del Generador</t>
  </si>
  <si>
    <t>26</t>
  </si>
  <si>
    <t>PATIOS Y ESPACIOS EXTERIORES</t>
  </si>
  <si>
    <t>26.1</t>
  </si>
  <si>
    <t>EXPLANADA PRINCIPAL</t>
  </si>
  <si>
    <t>26.1.1</t>
  </si>
  <si>
    <t>ESCALINATA DE ACCESO A EXPLANADA DESDE CALLE NORTE</t>
  </si>
  <si>
    <t>26.1.1.1</t>
  </si>
  <si>
    <t xml:space="preserve">INCLUYE: Estructura de H°A°, Zapatas,  Losas, y Gradas,  Muro lateral de contención de suelo con Pantalla y Zapata de H°A°;  Contrapiso de H°de Cascotes sobre el H° estructural; Huellas  de Planchas de Piedra roja tipo Misiones, Contrahuellas de Porcelanato sin pulir;  Pasamanos laterales e intermedios Tipo 2 cuya cotización se deberá incluir en el rubro respectivo; Iluminación de Pasamanos y otros detalles constructivos que garanticen la correcta ejecución del trabajo. Ver Detalles.    </t>
  </si>
  <si>
    <t>26.1.2</t>
  </si>
  <si>
    <t>AREA DE JUEGOS INFANTILES Y EJERCITADORES - JARDINERÍA DEL ENTORNO</t>
  </si>
  <si>
    <t>26.1.2.1</t>
  </si>
  <si>
    <t xml:space="preserve">Piso de hormigón armado tratado con ligaplast, allanado mecánico y endurecedor químico . Incorpora Parapetos de H°A° perimetrales y delimitadores de espacios con ribete en boladizo para cobijar Iluminación indirecta. Además, umbral de Granito Reconstituído en la transición entre ambos pisos. Ver Detalle. </t>
  </si>
  <si>
    <t>26.1.2.2</t>
  </si>
  <si>
    <t>Muro bajo de H°A° delimitador de jardinería y espacios . Ver Detalle</t>
  </si>
  <si>
    <t>26.1.2.3</t>
  </si>
  <si>
    <t>Z.6</t>
  </si>
  <si>
    <t>Jardinería con pasto esmeralda y árboles nativos. Ver E.T.</t>
  </si>
  <si>
    <t>26.1.3</t>
  </si>
  <si>
    <t>LUCERNARIOS</t>
  </si>
  <si>
    <t>26.1.3.1</t>
  </si>
  <si>
    <t>Lucernario de 10,20x1,80. Estructura de aluminio anodizado, vidrio armado, vedación. Ver Detalle.</t>
  </si>
  <si>
    <t>26.1.3.2</t>
  </si>
  <si>
    <t>Lucernario de 1,30x1,30 en Terraza Jardín y Guardería. Estructura de aluminio anodizado, vidrio armado, vedación. Ver Detalle.</t>
  </si>
  <si>
    <t>26.1.4</t>
  </si>
  <si>
    <r>
      <rPr>
        <b/>
        <sz val="10"/>
        <rFont val="Arial"/>
        <family val="2"/>
      </rPr>
      <t>PERGOLADOS:</t>
    </r>
    <r>
      <rPr>
        <sz val="10"/>
        <rFont val="Arial"/>
        <family val="2"/>
      </rPr>
      <t xml:space="preserve"> Base de H°A° con anclaje en el Contrapiso de H°A° y Losa Estructural, Columna Metálica, Ménsulas  y Tirantes transversale de Metal Incluye tratamiento de H°V° de la base y pintura sintética de la Estructura Metálica.</t>
    </r>
  </si>
  <si>
    <t>26.1.4.1</t>
  </si>
  <si>
    <t>De 4,50m x 3,50 m. De superficie.</t>
  </si>
  <si>
    <t>26.1.4.2</t>
  </si>
  <si>
    <t>De 8,50m x 3,50 m. De superficie.</t>
  </si>
  <si>
    <t>26.1.5</t>
  </si>
  <si>
    <r>
      <rPr>
        <b/>
        <sz val="10"/>
        <rFont val="Arial"/>
        <family val="2"/>
      </rPr>
      <t>TERRAZA JARDIN</t>
    </r>
    <r>
      <rPr>
        <sz val="10"/>
        <rFont val="Arial"/>
        <family val="2"/>
      </rPr>
      <t xml:space="preserve">: Incluye Base y parapetos perimetrales de H°A°, Aislación hidráulica tipo G.8. Revestimientos y Terminaciones según se indica en los Detalles, Suelo Vegetal y cultivo de plantas hornamentales especificadas e indicadas, Sistema de riego con los dispositivos hidraulico y mandos automátizados necesarios para el mantenimiento apropiado de las plantas. Y todo lo necesario para la correcta ejecución del rubro.  </t>
    </r>
  </si>
  <si>
    <t xml:space="preserve">gl. </t>
  </si>
  <si>
    <t>26.1.6</t>
  </si>
  <si>
    <r>
      <rPr>
        <b/>
        <sz val="10"/>
        <rFont val="Arial"/>
        <family val="2"/>
      </rPr>
      <t xml:space="preserve">FUENTE DE AGUA: </t>
    </r>
    <r>
      <rPr>
        <sz val="10"/>
        <rFont val="Arial"/>
        <family val="2"/>
      </rPr>
      <t>Incluye todos los componentes para lograr el funcionamiento del rubro. Base y perimetro de H°A°, Aislación hidráulica tipo G.2 y G.8, Los separadores internos de flujo serán hechos con Isopanel, tratados con revestimientos y protecciones especificadas, cuya disposición y diseño están indicados. Sistema hidráulico, alimentación y desagues,  bombas, filtros, boquillas de alimentación y retorno según se indique en las especificaciones técnicas. Sanitación y tratamiento y sanitación. Otros componentes de operación y funcionalidad no indicada, pero que sean necesarios para la operación y funcionamiento apropiados del sistema, deberán ser tambien considerados en el rubro.</t>
    </r>
  </si>
  <si>
    <t>26.1.7</t>
  </si>
  <si>
    <r>
      <rPr>
        <b/>
        <sz val="10"/>
        <rFont val="Arial"/>
        <family val="2"/>
      </rPr>
      <t>MONUMENTO A LA DIOSA ASTREA:</t>
    </r>
    <r>
      <rPr>
        <sz val="10"/>
        <rFont val="Arial"/>
        <family val="2"/>
      </rPr>
      <t xml:space="preserve">  Base de la Escultura de hormigon armado y mampostería revestido con granito natural. Provisión y colocación de la Escultura de la Diosa Astrea hecho de hormigón, de dos metros de altura, con pintura blanca o color bronce, como se indique, de alta resistencia a la interperie. Integra el monumento tres Mástiles de caños galvanizados, anclados en la Losa estructural, pintados y con los mecanismos de izaje necesarios. El entorno del Monumento está dado con un Cantero hecho de H°A°, apoyado sobre losa estructural, con aislación tipo G.2 y G.8 conbinados. Suelo Vegetal y plantas hornamentales como se indican. Iluminación y otros componente ver en los detalles y especificaciones tecnicas.  </t>
    </r>
  </si>
  <si>
    <t>26.2</t>
  </si>
  <si>
    <t xml:space="preserve">PISOS DE GRANITO RECONSTITUIDO ANTIDESLIZANTE </t>
  </si>
  <si>
    <t>26.2.1</t>
  </si>
  <si>
    <t xml:space="preserve">VEREDAS </t>
  </si>
  <si>
    <t>26.2.1.1</t>
  </si>
  <si>
    <t xml:space="preserve">Contrapiso de H°A°: Se aplica sobre suelo compactado y colchón de triturada, espesor 10 cm. Si se aplica sobre relleno de zanjas o terreno natural sin compactar, la cuantía de armaduras deberá ser verificada mediante Cálculo. Incorpora el Cordón de H°A° en el lado interno de la vereda,  donde existe Pantalla de H°A° que lo limita internamente, se amarra a la misma, hacia la calle deverá dejarse los brotes de armaduras para el Cordón Cuneta.  Entodos los casos se asienta sobre colchón de triturada.  </t>
  </si>
  <si>
    <t>26.2.1.2</t>
  </si>
  <si>
    <t xml:space="preserve">Contrapiso de hormigón de cascotes sobre Contrapiso de H°A° , espesor mínimo de 8 cm. </t>
  </si>
  <si>
    <t>26.2.1.3</t>
  </si>
  <si>
    <t>Z.3</t>
  </si>
  <si>
    <t>Cordón Cuneta de H°A° entre vereda y calle, las caras expuestas tienen terminación Vista. Ver Detalle.</t>
  </si>
  <si>
    <t>26.2.1.4</t>
  </si>
  <si>
    <r>
      <t>I.</t>
    </r>
    <r>
      <rPr>
        <sz val="8"/>
        <rFont val="Arial"/>
        <family val="2"/>
      </rPr>
      <t>2</t>
    </r>
    <r>
      <rPr>
        <sz val="9"/>
        <rFont val="Arial"/>
        <family val="2"/>
      </rPr>
      <t xml:space="preserve"> -J.1</t>
    </r>
  </si>
  <si>
    <t xml:space="preserve">Piso de Granito Reconstituído antideslizante acanalado sobre contrapiso de hormigón de cascotes. </t>
  </si>
  <si>
    <t>26.2.1.5</t>
  </si>
  <si>
    <t>Rampa para Acceso a impedidos Tipo 1, Ver Detalle.</t>
  </si>
  <si>
    <t xml:space="preserve">un. </t>
  </si>
  <si>
    <t>26.2.1.6</t>
  </si>
  <si>
    <t>Rampa para Acceso a impedidos Tipo 2, Ver Detalle.</t>
  </si>
  <si>
    <t>26.2.2</t>
  </si>
  <si>
    <t xml:space="preserve">CAMINEROS DE CIRCULACIÓN Y RAMPAS DE INTERCONEXIÓN </t>
  </si>
  <si>
    <t>26.2.2.1</t>
  </si>
  <si>
    <t xml:space="preserve">Contrapiso de H°A°: Se aplica sobre suelo compactado y colchón de triturada, espesor 10 cm. Si se aplica sobre relleno de zanjas o terreno natural sin compactar, la cuantía de armaduras deberá ser verificada mediante Cálculo. Incorpora los cordones de H°A° a cada lado del caminero o ,  donde existe Pantalla de H°A° que lo limita, se amarra a la misma.  En todos los casos se asienta sobre colchón de triturada.  </t>
  </si>
  <si>
    <t>26.2.2.2</t>
  </si>
  <si>
    <t>26.2.2.3</t>
  </si>
  <si>
    <t xml:space="preserve">Piso de Granito Reconstituído antideslizante sobre contrapiso de hormigón de cascotes. Lleva cantonera lateral en casos en los cuales existen otro tipo de piso colindante en desnivel y no aflora el Cordón lateral. </t>
  </si>
  <si>
    <t>26.2.3</t>
  </si>
  <si>
    <t>PISO EN EXPLANADA PRINCIPAL.</t>
  </si>
  <si>
    <t>26.2.3.1</t>
  </si>
  <si>
    <t xml:space="preserve">Piso de Granito Reconstituído antideslizante acanalado, sobre contrapiso de hormigón de cascotes en Explanada Principal y Salida de emergencia en base de Escalera del SS2 del Salón Auditorio. Se prevé cantoneras metalicas  en gradas o bordes de entrada a Rejillas de desague. </t>
  </si>
  <si>
    <t>26.2.4</t>
  </si>
  <si>
    <t>RAMPAS</t>
  </si>
  <si>
    <t>26.2.4.1</t>
  </si>
  <si>
    <t xml:space="preserve">Rampa de Acceso a Funcionarios desde Calle Noreste. INCLUYE: Contrapiso de H°A° y Contrapiso de H° de Cascotes;  Piso de Granito Reconstituído, terminación lateral con Angulo metálico; Baranda lateral de Caño de Acero Inoxidable, cuya cotización se prevé en el rubro correspondiente. Además todo lo indicado en el Detalle de Arquitectura, así como los no indicados pero que sean necesarios para una correcta ejecución de los trabajos. </t>
  </si>
  <si>
    <t>26.2.4.2</t>
  </si>
  <si>
    <t xml:space="preserve">Rampa de Acceso a Funcionarios localizado en Caminero desde Calle Sur, hasta Edificio. Está constituída por dos rampas intermedias. INCLUYE: Contrapiso de H°A° y Contrapiso de H° de Cascotes;  Piso de Granito Reconstituído con terminación lateral en Angulo metálico; Barandas laterales de Caño de Acero Inoxidable a cada lado de la  Rampa, cuya cotización está dado en el rubro correspondiente. Además todo lo indicado en el Detalle de Arquitectura, así como los no indicados pero que sean necesarios para una correcta ejecución de los trabajos. </t>
  </si>
  <si>
    <t>26.3</t>
  </si>
  <si>
    <t>PISOS, RAMPAS Y ESCALERAS DE H°A°</t>
  </si>
  <si>
    <t>26.3.1</t>
  </si>
  <si>
    <t xml:space="preserve">Piso, sobre colchón de Triturada, en Estacionamiento y Rampa vehicular Público adyacente a Salón Auditorio, desde Calle noroeste. Incluye Cordones de H°A°que limita su perímetro, Visto en caras expuestas y ancladas en el hormigón de piso. </t>
  </si>
  <si>
    <t>26.3.2</t>
  </si>
  <si>
    <t>Rampa de Acceso a Retén Adultos, INCLUYE: Losa Estructural de fondo,  fundación soportes laterales con Pantallas de H°A°, Aislación interior de Pantallasde la misma, la losa asienta sobre  suelo compactado y Colchón de Triturada y deberá prever varillas en U para anclaje de la losa de piso superior. Losa de Piso de 10 cm. de espesor, con endurecedor quimico, antideslizante con endurecedor quimico y llaneado mecánico, rebajes tranversales antideslizante y dos rebajes colectores longitudinales a cada lado, pegado a los guardarruedas laterales.</t>
  </si>
  <si>
    <t>26.3.3</t>
  </si>
  <si>
    <t xml:space="preserve">Escalera de acceso a Caseta de Guardia. Terminación Vista. Las gradas tienen embutidas en el H°, en su arista viva, ángulos metálicos de terminación. </t>
  </si>
  <si>
    <t>26.3.4</t>
  </si>
  <si>
    <t>Piso de H°A° en Retén de Adultos y Caseta de Guardia. Con endurecedor quimico y llaneado mecánico, espesor de 10 cm como mínimo. Constuído sobre colchón de Triturada.</t>
  </si>
  <si>
    <t>26.3.5</t>
  </si>
  <si>
    <t>Piso de H°A° Estacionamiento de Magistrados, Patio Técnico, Sala de Trafo y Generador de Emergencia. Incluye también Platea sobreelevada y  Rampa en Portón de Acceso a Estacionaqmiento. Con endurecedor quimico y llaneado mecánico, espesor de 10 cm como mínimo. Constuído sobre colchón de Triturada. En las aristas con desnibel en gradas, se realiza con ángulo metálico de terminación.</t>
  </si>
  <si>
    <t>26.3.6</t>
  </si>
  <si>
    <t xml:space="preserve">Piso, sobre colchón de Triturada, en Estacionamiento y Rampa vehicular Público sobre Calle Sur. Incluye Cordones de H°A°que limita su perímetro, Visto en caras expuestas y ancladas en el hormigón de piso. </t>
  </si>
  <si>
    <t>26.3.7</t>
  </si>
  <si>
    <t xml:space="preserve">Area de estacionamiento publico no cublierta, incluye rampa de Acceso a Estacionamiento Público con Ranuras transversales antideslizante, según se indique en el Diseño. </t>
  </si>
  <si>
    <t>26.3.8</t>
  </si>
  <si>
    <t xml:space="preserve">Escalera de acceso a Planta de Tratamiento. Terminación Vista. Las gradas tienen embutidas en el H°, en su arista viva, ángulos metálicos de terminación. </t>
  </si>
  <si>
    <t>26.3.9</t>
  </si>
  <si>
    <t>Piso de H°A° en Retén de Adolecente. Con endurecedor quimico y llaneado mecánico, espesor de 10 cm como mínimo. Constuído sobre colchón de Triturada.</t>
  </si>
  <si>
    <t>26.3.10</t>
  </si>
  <si>
    <t>Rampa de Acceso Vehicular a Retén Adolente y Estacionamiento Público, desde Calle Noreste. Piso de H°A° de 10 cm de espesor como mínimo, sobre colchón de triturada, endurecedor quimico y Llaneado mecánico</t>
  </si>
  <si>
    <t>26.4</t>
  </si>
  <si>
    <t xml:space="preserve">ESCALINATAS Y ESCALERAS CON PLANCHAS DE PIEDRA </t>
  </si>
  <si>
    <t>26.4.1</t>
  </si>
  <si>
    <t xml:space="preserve">En Acceso Principal, calle Norte, INCLUYE: Estructura de H°A°, Zapatas,  Losas, y Gradas,  Muro lateral de contención de suelo con Pantalla y Zapata de H°A°;  Contrapiso de H°de Cascotes sobre el H° estructural; Huellas  de Planchas de Piedra roja tipo Misiones, Contrahuellas de Porcelanato sin pulir;  Barandas laterales de protección con Caño de Acero Inoxidable.  Además todo lo indicado en el Detalle de Arquitectura, así como los no señalados y que sean necesarios para la correcta ejecución del trabajo.    </t>
  </si>
  <si>
    <t>26.4.2</t>
  </si>
  <si>
    <t xml:space="preserve">Escalera de Salida de Emergencia del Salón Auditorio hacia calle noroeste. INCLUYE: Estructura de H°A°, Contrapiso de H° de Cascotes sobre el H° estructural; Huellas de Piedra roja tipo Misiones, Contrahuella de Porcelanato sin pulir, Pasamanos de Acero Inoxidable a cada lado. Además todo  todo lo indicado en el Detalle de Arquitectura, asi como los no señalados y que sean necesarios para la correcta ejecución del trabajo. </t>
  </si>
  <si>
    <t>26.4.3</t>
  </si>
  <si>
    <t xml:space="preserve">Escalera de Salida de Emergencia desde el Subsuelo 1 a la calle noroeste. INCLUYE: Estructura de H°A°, Contrapiso de H° de Cascotes sobre el H° estructural; Huellas de Piedra roja tipo Misiones, Contrahuella de Porcelanato sin pulir, Pasamanos de Acero Inoxidable a cada lado. Además todo  todo lo indicado en el Detalle de Arquitectura, asi como los no señalados y que sean necesarios para la correcta ejecución del trabajo. </t>
  </si>
  <si>
    <t>26.4.4</t>
  </si>
  <si>
    <t xml:space="preserve">Escalinata de Acceso a Funcionarios entre Calle Noreste y Edificio. INCLUYE: Estructura de H°A°, Contrapiso de H° de Cascotes sobre el H° estructural; Huellas de Piedra roja tipo Misiones, Contrahuella de Porcelanato sin pulir, Pasamanos de Acero Inoxidable a cada lado. Además todo  todo lo indicado en el Detalle de Arquitectura, asi como los no señalados y que sean necesarios para la correcta ejecución del trabajo. </t>
  </si>
  <si>
    <t>26.4.5</t>
  </si>
  <si>
    <t xml:space="preserve">Escalinata de Acceso a Funcionarios entre Calle Sur y Edificio. INCLUYE: Estructura de H°A°, Contrapiso de H° de Cascotes sobre el H° estructural; Huellas de Piedra roja tipo Misiones, Contrahuella de Porcelanato sin pulir, Pasamanos de Acero Inoxidable a cada lado. Además todo  todo lo indicado en el Detalle de Arquitectura, asi como los no señalados y que sean necesarios para la correcta ejecución del trabajo. </t>
  </si>
  <si>
    <t>26.5</t>
  </si>
  <si>
    <t>BARANDAS Y PASAMANOS</t>
  </si>
  <si>
    <t>26.5.1</t>
  </si>
  <si>
    <t>Pasamanos  Tipo 1  -De acero inoxidable- Ver detalle</t>
  </si>
  <si>
    <t>26.5.2</t>
  </si>
  <si>
    <t>Pasamanos  Tipo 2  -De acero inoxidable para escalinata principal- Ver detalle</t>
  </si>
  <si>
    <t>26.5.3</t>
  </si>
  <si>
    <t>Pasamanos  Tipo 3  -Metálico- Ver detalle</t>
  </si>
  <si>
    <t>26.5.4</t>
  </si>
  <si>
    <t>Baranda Tipo 1- Metálica y pasamano de acero inox- Ver detalle</t>
  </si>
  <si>
    <t>26.5.5</t>
  </si>
  <si>
    <t>Baranda Tipo 2- Metálica y pasamano de acero inox. Fijacion lateral - Ver detalle</t>
  </si>
  <si>
    <t>26.5.6</t>
  </si>
  <si>
    <t>Baranda Tipo 3- Metálica y pasamano metálico. Fijacion lateral - Ver detalle</t>
  </si>
  <si>
    <t>26.5.7</t>
  </si>
  <si>
    <t>Baranda Tipo 4- De vidrio laminado y pasamano de acero inox. Fijacion lateral , incluye base de borde de granito reconstituido - Ver detalle</t>
  </si>
  <si>
    <t>26.6</t>
  </si>
  <si>
    <t>ESTRUCTURAS INDEPENDIENTES</t>
  </si>
  <si>
    <t>26.6.1</t>
  </si>
  <si>
    <t>Portico de Acceso Peatonal y Vehicular a Jueces y Funcionarios: Estructura de H°A° Visto. Constituído por Pilares y Vigas.Ver Detalle.</t>
  </si>
  <si>
    <t>26.7</t>
  </si>
  <si>
    <t>PANTALLAS DE CONTENCIÓN DE SUELOS Y MUROS PERIMETRALES</t>
  </si>
  <si>
    <t>26.7.1</t>
  </si>
  <si>
    <t>Pantallas de contención de suelos, de 30 cm. de espesor en áreas de Rampas y Escaleras de acceso a Subsuelo 1. Fundación con doble Pilotes de 40 cm. de diametro cabezales y vigas de arriostramiento entre los mismos. Separación entre cabezales, 3 metros. Incluye aislación tipo G.2</t>
  </si>
  <si>
    <t>26.7.2</t>
  </si>
  <si>
    <t>Pantallas de contención de suelos, de 30 cm. de espesor en áreas de Retén.Fundación con doble Pilotes de 40 cm. de diametro cabezales y vigas de arriostramiento entre los mismos. Separación entre cabezales, 3 metros. Incluye aislación tipo G.2</t>
  </si>
  <si>
    <t>26.7.3</t>
  </si>
  <si>
    <t xml:space="preserve">Mampostería doble de 0,15, apoyada en Pantalla de HJ°A°, estructurada con Pilares y vigas en dos niveles, intermedio y superior, hacia la calle. </t>
  </si>
  <si>
    <t>26.7.4</t>
  </si>
  <si>
    <t xml:space="preserve">Mampostería doble de 0,15, Estructurada con Pilares y Vigas en tres niveles, inferior es de Fundación, la intermedia de soporte y la superior de arriostramiento. Retén hacia el bloque A. </t>
  </si>
  <si>
    <t>26.7.5</t>
  </si>
  <si>
    <t xml:space="preserve">Pantalla Perimetral e interno de altura variable, dependiendo de los desniveles entre la vereda y el patio interno y 25 cm. de espesor. En todos los casos debe aflorar 50 cm. sobre el nivel del piso, interior o exterior. La fundación es con doble pilotes de 30 cm. de 6 metros de profundidad, unidos con cabezáles y separados entre si cada tres metros. Esta Pantalla es soporte del Cerramiento perimetral Metálico, consignado en la Carpintería Metálica. Incluye aislación tipo G.2 </t>
  </si>
  <si>
    <t>CANTEROS Y JARDINERÍA</t>
  </si>
  <si>
    <t xml:space="preserve">Cantero de parapetos de H°A°, anclado en el Contrapiso de H°. De 7,40x1,60 adyacente a Escalinata de acceso a explanada principal. Incluye aislación de fondo y perimetral tipo G.2,  suelo vegetal y Plantas hornamentales, como se indica en cada caso.  </t>
  </si>
  <si>
    <t>26.6.2</t>
  </si>
  <si>
    <t xml:space="preserve">Cantero de parapetos de H°A°, anclado en el Contrapiso de H°. De 5,90x3,50. Adyacente a Salida de Emergencia del bloque C a la Explanada Principal. Incluye aislación de fondo y perimetral tipo G.2, suelo vegetal y Plantas hornamentales, como se indica en cada caso.  </t>
  </si>
  <si>
    <t>26.6.3</t>
  </si>
  <si>
    <t xml:space="preserve">Cantero de parapetos de H°A°, anclado en el Contrapiso de H°. De 6,20x1,80. En cabecera del Estacionamiento Público del bloque F. Incluye aislación de fondo y perimetral tipo G.2, suelo vegetal y Plantas hornamentales, como se indica en cada caso.  </t>
  </si>
  <si>
    <t>26.6.4</t>
  </si>
  <si>
    <t xml:space="preserve">Cantero de parapetos de H°A°, anclado en el Contrapiso de H°. De 10,45x1,25. En cabecera sur de la Cafetería. Incluye aislación de fondo y perimetral tipo G.2, suelo vegetal y Plantas hornamentales, como se indica en cada caso.  </t>
  </si>
  <si>
    <t>26.6.5</t>
  </si>
  <si>
    <t xml:space="preserve">Cantero de parapetos de H°A°, anclado en el Contrapiso de H°. De 2,20x3,70. En Subsuelo 2 adyacente a Salida de Emergencia del Bloque F. Incluye aislación de fondo y perimetral tipo G.2, suelo vegetal y Plantas hornamentales, como se indica en cada caso.  </t>
  </si>
  <si>
    <t>26.6.6</t>
  </si>
  <si>
    <t xml:space="preserve">Cantero de parapetos de H°A°, anclado en el Contrapiso de H°. Triangular De 2,70x3,70. En Subsuelo1 adyacente a Salida de Emergencia del Bloque A. Incluye aislación de fondo y perimetral tipo G.2, suelo vegetal y Plantas hornamentales, como se indica en cada caso.  </t>
  </si>
  <si>
    <t>26.6.7</t>
  </si>
  <si>
    <t xml:space="preserve">Cantero de parapetos de H°A°, anclado en el Piso de H°. Triangulo curvo De 2,90x8,25. En Retén de Adulto. Incluye aislación de fondo y perimetral tipo G.2, suelo vegetal y Plantas hornamentales, como se indica en cada caso.  </t>
  </si>
  <si>
    <t>26.6.8</t>
  </si>
  <si>
    <t xml:space="preserve">Cantero de parapetos de H°A°, anclado en el Piso de H°. Trapezoidal  De B = 5,3 b = 2,7 h = 2,5. En Estacionamiento Funcionarios. Incluye aislación de fondo y perimetral tipo G.2, suelo vegetal y Plantas hornamentales, como se indica en cada caso.  </t>
  </si>
  <si>
    <t>26.6.9</t>
  </si>
  <si>
    <t xml:space="preserve">Cantero de parapetos de H°A°, anclado en el Piso de H°. De 5,00x5,40. En Portico de acceso peatonal y vehicular de Magistrados y Funcionarios. Incluye aislación de fondo y perimetral tipo G.2, suelo vegetal y Plantas hornamentales, como se indica en cada caso.  </t>
  </si>
  <si>
    <t>26.6.10</t>
  </si>
  <si>
    <t xml:space="preserve">Cantero de parapetos de H°A°, anclado en el Piso de H°. De 5,00x5,40. Adyacente a Caminero peatonal de acceso a Funcionarios. Incluye aislación de fondo y perimetral tipo G.2, suelo vegetal y Plantas hornamentales, como se indica en cada caso.  </t>
  </si>
  <si>
    <t>26.6.11</t>
  </si>
  <si>
    <t xml:space="preserve">Cantero de parapetos de H°A°, anclado en el Piso de H°. De 22,20x0,65. En Portico de acceso peatonal y vehicular de Magistrados y Funcionarios. Incluye aislación de fondo y perimetral tipo G.2, suelo vegetal y Plantas hornamentales, como se indica en cada caso.  </t>
  </si>
  <si>
    <t>26.6.12</t>
  </si>
  <si>
    <t xml:space="preserve">Cantero de parapetos de H°A°, anclado en el Piso de H°. De 11,40x4,10. Entre  acceso peatonal a Funcionarios y Juego de Niños de Guardería. Incluye aislación de fondo y perimetral tipo G.2, suelo vegetal y Plantas hornamentales, como se indica en cada caso.  </t>
  </si>
  <si>
    <t>26.6.13</t>
  </si>
  <si>
    <t xml:space="preserve">Jardinería en área de Planta de Trataminto. Incluye Suelo Vegetal,  Pasto esmeralda y Ornamentales indicadas </t>
  </si>
  <si>
    <t xml:space="preserve">m2 </t>
  </si>
  <si>
    <t>26.6.14</t>
  </si>
  <si>
    <t xml:space="preserve">Jardinería en torno a Guardería. Incluye Suelo Vegetal,  Pasto esmeralda y Ornamentales indicadas </t>
  </si>
  <si>
    <t>26.6.15</t>
  </si>
  <si>
    <t xml:space="preserve">Cantero de parapetos de H°A°, anclado en el Contrapiso de H°. De 8,00x2,50. en Rampa de Acceso a Funcionarios. Incluye aislación de fondo y perimetral tipo G.2, suelo vegetal y Plantas hornamentales, como se indica en cada caso.  </t>
  </si>
  <si>
    <t>26.6.16</t>
  </si>
  <si>
    <t xml:space="preserve">Jardinería Adyacente al bloque C y Calle Noresta. Incluye Suelo Vegetal,  Pasto esmeralda y Ornamentales indicadas </t>
  </si>
  <si>
    <t>26.6.17</t>
  </si>
  <si>
    <t xml:space="preserve">Jardinería En el ángulo de las Calles Norte y Noreste. Incluye Suelo Vegetal,  Pasto esmeralda y Ornamentales indicadas </t>
  </si>
  <si>
    <t>REVESTIDOS DE PIEDRA</t>
  </si>
  <si>
    <t>Revestimiento de Piedra abuchonada a junta fina, sobre Pantalla de H° en las adyacencias de la Guardería y en la esquina correspondiente a la Calle Norte y Norest, sobre Pantalla del Estacionamiento. Incluye, Salpicado previo con mezcla de aderencia, aislación Tipo G.4 y luego el Revestimiento.</t>
  </si>
  <si>
    <t>26.8</t>
  </si>
  <si>
    <t>Rampas de acceso a Impedidos.</t>
  </si>
  <si>
    <t>26.8.1</t>
  </si>
  <si>
    <t>Tipo 1</t>
  </si>
  <si>
    <t>26.8.2</t>
  </si>
  <si>
    <t>Tipo 2</t>
  </si>
  <si>
    <t>27</t>
  </si>
  <si>
    <t>Z</t>
  </si>
  <si>
    <t>VARIOS</t>
  </si>
  <si>
    <t>27.1</t>
  </si>
  <si>
    <t>E.1-L.1</t>
  </si>
  <si>
    <t xml:space="preserve">Bocas para Riego: Registro de mampostería con piso de piedra triturada y tapa de Chapa doblada, canillas de patio con pico para manguera y llave de paso por cada boca  </t>
  </si>
  <si>
    <t>27.2</t>
  </si>
  <si>
    <t>E.1-L.2</t>
  </si>
  <si>
    <t xml:space="preserve">Canilla de patio de 3/4"·con pico para manguera embutido en muros y con protección de 0,40m2 de azulejos </t>
  </si>
  <si>
    <t>27.3</t>
  </si>
  <si>
    <t>Z.7</t>
  </si>
  <si>
    <t xml:space="preserve">TRATAMIENTO DE VEDACIÓN Y SELLADO JUNTAS DE DILATACIÓN  </t>
  </si>
  <si>
    <t>27.3.1</t>
  </si>
  <si>
    <t xml:space="preserve">Vedación de Juntas de dilatación entre dos bloques de hormigón expuestas al agua subterraneas en Piso de SS1:  Entre bloques AyB; entre B y C; entre entre A y D; entre Cy D; entre A y F; y entre D y F. Con bandas de PVC (Cloruro de Polivinilo)  con estrías y lenguetas en las aletas, y un bubo en la línea del eje de la banda, para neutralizar el flujo de agua. El ancho no será inferior a 20 cm. </t>
  </si>
  <si>
    <t>27.3.2</t>
  </si>
  <si>
    <t xml:space="preserve">Vedación de Juntas de dilatación entre dos bloques de hormigón expuestas a las aguas de precipitaciones pluviales. en Techo de SS1:  Entre bloques AyB; entre B y C; entre entre A y D; entre Cy D;  y entre D y F. Con bandas de PVC (Cloruro de Polivinilo)  con estrías y lenguetas en las aletas, y un bubo en la línea del eje de la banda, para neutralizar el flujo de agua. El ancho no será inferior a 20 cm. </t>
  </si>
  <si>
    <t>27.3.3</t>
  </si>
  <si>
    <t xml:space="preserve">Vedación de Juntas de dilatación entre Pantallas. Con bandas de PVC (Cloruro de Polivinilo)  con estrías y lenguetas en las aletas, y un bubo en la línea del eje de la banda, para neutralizar el flujo de agua. El ancho no será inferior a 20 cm. </t>
  </si>
  <si>
    <t>27.3.4</t>
  </si>
  <si>
    <t>Vedación de Juntas de dilatación en mamposterías exteriores, expuestas a la intemperie: Se realiza la vedación de la hendidura a través de un perfil celular flexible aplicado a presión enbebido en mastic elástico de poliuretano, con certificación ISO o CE. En Subsuelo 1, Planta Baja, 1° Piso, 2° Piso, 3° Piso, 4° Piso, y 5° Piso.</t>
  </si>
  <si>
    <t>27.3.5</t>
  </si>
  <si>
    <t xml:space="preserve">Sellado de hendijas de Junta de dilatación en muros interiores: Aplicación de dos buñas metálicas Z de aceo zincado, una de cada lado de la hendidura. </t>
  </si>
  <si>
    <t>27.3.6</t>
  </si>
  <si>
    <t xml:space="preserve">Sellado de hendijas de Junta de dilatación entre bloques estructurales, y sus efectos en en pisos de Granito y Hormigón: Aplicación de una membranas de 4 mm. aderída en caliente  al H° estructural, 40 cm. a cada lado de la Junta. La membrana deberá quedar reundida en la Junta por lo menos 2 cm. a fin de garantizar la olgura necesaria para la dilatación. La holgura de 2 cm. tiene continuidad en el Contrapiso y piso, que será rellenada en un solo proceso con una mezcla de Caucho y Asfalto (70% - 30%) sólido diluidos en caliente, hasta 2 cm. antes de la superficie superior del piso, que será enrrasada con Sikaflex, para brindarle buena terminación.  </t>
  </si>
  <si>
    <t>27.3.7</t>
  </si>
  <si>
    <t>Vedación de Juntas de dilatación en losas entre dos bloques estructurales expuestos a la intemperie, mediante la incorporación de estructuras de transformación de endiduras verticales a horizontales, utilizando "viceras" y vigas invertidas para el efecto. El sellado se efectua con Perfiles Celulares flexibles de neoprene y Mastique elástico tipo Vedaflex en las endiduras expuestas.Ver Detalle</t>
  </si>
  <si>
    <t>27.3.8</t>
  </si>
  <si>
    <t>Juntas de dilatación no estructurales, de 1 cm. de espesor, en pisos ( De H° en estacionamientos, Azoteas, Veredas y Camineros, Explanada Principal, otros espacios) cuyos casos se indican en las E.T: Se prescribe solo a los pisos propiamente, no incorpora el contrapiso. En promedio se distancian cada 12 m, y se ejecutan de la siguiente manera.  Se aplica mezcla de Caucho y Asfalto( 70% - 30%) sólido diluido en caliente hasta 2 cm. antes del enrrase, se completa con Sikaflex que le brinda mejor terminación.</t>
  </si>
  <si>
    <t>27.4</t>
  </si>
  <si>
    <t>27.4.1</t>
  </si>
  <si>
    <t>Z.8</t>
  </si>
  <si>
    <t>Provisión de panel llavero, placas de identificación y planos encuadrados y plastificados de los planos.</t>
  </si>
  <si>
    <t>27.4.2</t>
  </si>
  <si>
    <t>Z.9</t>
  </si>
  <si>
    <t>Limpieza permanente y final de obra</t>
  </si>
  <si>
    <t>28</t>
  </si>
  <si>
    <t>AA</t>
  </si>
  <si>
    <t>PAVIMENTO DE CALLES ADYACENTES AL PALACIO DE JUSTICIA</t>
  </si>
  <si>
    <t>28.1</t>
  </si>
  <si>
    <t>AVENIDA DE ACCESO Y CALLES LATERALES AL EDIFICIO</t>
  </si>
  <si>
    <t>28.1.1</t>
  </si>
  <si>
    <t>B-1</t>
  </si>
  <si>
    <t>Corte de suelo hasta por lo menos 25 cm.  por debajo de la rasante, traslado hasta área de acopio para relleno en las adyacencias. Conformación de Caja para Pavimento tipo Empedrado con Motoniveladora</t>
  </si>
  <si>
    <t>28.1.2</t>
  </si>
  <si>
    <t>Relleno y compactación de espaldón de cordones en general</t>
  </si>
  <si>
    <t>28.1.3</t>
  </si>
  <si>
    <t>Relleno y compactación de suelo para empedrado</t>
  </si>
  <si>
    <t>28.1.4</t>
  </si>
  <si>
    <t>Pavimento empedrado</t>
  </si>
  <si>
    <t>28.1.5</t>
  </si>
  <si>
    <t>AA.3</t>
  </si>
  <si>
    <t>Cordón-cuneta</t>
  </si>
  <si>
    <t>28.1.6</t>
  </si>
  <si>
    <t>Cordón de H°A° - A la vista y escondido</t>
  </si>
  <si>
    <t>28.1.7</t>
  </si>
  <si>
    <t>Baden de H°A° - Cuneta de 1,00 de ancho</t>
  </si>
  <si>
    <t>28.1.8</t>
  </si>
  <si>
    <t>Paseo Central, relleno con suelo vegetal para cesped y jardinería</t>
  </si>
  <si>
    <t>28.2</t>
  </si>
  <si>
    <t>DESAGUE PLUVIAL EN CALLES</t>
  </si>
  <si>
    <t>28.2.1</t>
  </si>
  <si>
    <t>Cañerías de polietileno de alta  densidad corrugado PADC de 1,00 m de diametro. Incluye manos de obra de montaje, excavacion a una profundidad minina del doble de su diametro y relleno y compactacion superior. Accesorios para su union entre si y a las bocas de tormenta.</t>
  </si>
  <si>
    <t>28.2.2</t>
  </si>
  <si>
    <t>Cañerías de polietileno de alta  densidad corrugado PADC de 0,80 m de diametro. Incluye manos de obra de montaje, excavacion a una profundidad minina del doble de su diametro y relleno y compactacion superior. Accesorios para su union entre si y a las bocas de tormenta.</t>
  </si>
  <si>
    <t>28.2.3</t>
  </si>
  <si>
    <t xml:space="preserve">Cañerías de polietileno de alta  densidad corrugado PADC de 0,60 m de diametro. Incluye manos de obra de montaje, excavacion a una profundidad minina del doble de su diametro y relleno y compactacion superior. Accesorios para su union entre si y a las bocas de tormenta. </t>
  </si>
  <si>
    <t>28.2.4</t>
  </si>
  <si>
    <t>Cañerías de polietileno de alta  densidad corrugado PADC de 0,50 m de diametro. Incluye manos de obra de montaje, excavacion a una profundidad minina del doble de su diametro y relleno y compactacion superior. Accesorios para su union entre si y a las bocas de tormenta.</t>
  </si>
  <si>
    <t>28.2.5</t>
  </si>
  <si>
    <t>Cañerías de polietileno de alta  densidad corrugado PADC de 0,40 m de diametro. Incluye manos de obra de montaje, excavacion a una profundidad minina del doble de su diametro y relleno y compactacion superior. Accesorios para su union entre si y a las bocas de tormenta.</t>
  </si>
  <si>
    <t>28.2.6</t>
  </si>
  <si>
    <t>Boca de Tormenta. Ver Detalle. Incluye tapa metalica y demas accesorios.</t>
  </si>
  <si>
    <t>Sub Total A.1 - OBRAS CIVILES</t>
  </si>
  <si>
    <t>Son Guaraníes………………..</t>
  </si>
  <si>
    <t>A.2 PLANILLA DE CÓMPUTO MÉTRICO Y PRESUPUESTO - SISTEMA DE CLIMATIZACION</t>
  </si>
  <si>
    <t>1. EQUIPOS</t>
  </si>
  <si>
    <t>A - AIRE ACONDICIONADO</t>
  </si>
  <si>
    <t>A.2.1.A1</t>
  </si>
  <si>
    <t>IE1</t>
  </si>
  <si>
    <t>Unidad Enfriadora de Agua de 75 TR, compresores tipo SCROLL, Alta eficiencia EER 3 o superior, bajo nivel de sonoro y kit hidronico incluido de fabrica.</t>
  </si>
  <si>
    <t>A.2.1.A2</t>
  </si>
  <si>
    <t>Unidad Manejadora de Aire con gabinete horizontal de 40 kW</t>
  </si>
  <si>
    <t>A.2.1.A3</t>
  </si>
  <si>
    <t>Unidad Manejadora de Aire con gabinete vertical de 35 kW</t>
  </si>
  <si>
    <t>A.2.1.A4</t>
  </si>
  <si>
    <t>Fan Coil tipo horizontal para conductos, de 7,15 kW</t>
  </si>
  <si>
    <t>A.2.1.A5</t>
  </si>
  <si>
    <t>Fan Coil tipo horizontal para conductos, de 10,5 kW</t>
  </si>
  <si>
    <t>A.2.1.A6</t>
  </si>
  <si>
    <t>Fan Coil tipo horizontal para conductos, de 5,20 kW</t>
  </si>
  <si>
    <t>A.2.1.A7</t>
  </si>
  <si>
    <t>Fan Coil tipo horizontal para conductos, de 3,50 kW</t>
  </si>
  <si>
    <t>A.2.1.A8</t>
  </si>
  <si>
    <t>Fan Coil tipo horizontal para conductos, de 13,5 kW</t>
  </si>
  <si>
    <t>A.2.1.A9</t>
  </si>
  <si>
    <t>Fan Coil tipo horizontal para conductos, de 17,5 kW</t>
  </si>
  <si>
    <t>A.2.1.A10</t>
  </si>
  <si>
    <t xml:space="preserve">Unidad de Recuperador de Calor, con inyeccion  y extraccion de aire filtrado de 450 m3/h (prever 2 juegos de recambio de filtros F7 y M5 por unidad) </t>
  </si>
  <si>
    <t>A.2.1.A11</t>
  </si>
  <si>
    <t>Unidad de Recuperador de Calor, con inyeccion  y extraccion de aire filtrado de 800 m3/h  (prever 2 juegos de recambio de filtros F7 y M5 por unidad)</t>
  </si>
  <si>
    <t>A.2.1.A12</t>
  </si>
  <si>
    <t>Unidad de Recuperador de Calor, con inyeccion  y extraccion de aire filtrado de 1.200 m3/h  (prever 2 juegos de recambio de filtros F7 y M5 por unidad)</t>
  </si>
  <si>
    <t>A.2.1.A13</t>
  </si>
  <si>
    <t>Unidad de Recuperador de Calor, con inyeccion  y extraccion de aire filtrado de 1.600 m3/h  (prever 2 juegos de recambio de filtros F7 y M5 por unidad)</t>
  </si>
  <si>
    <t>A.2.1.A14</t>
  </si>
  <si>
    <t>Unidad de Recuperador de Calor, con inyeccion  y extraccion de aire filtrado de 2.700 m3/h  (prever 2 juegos de recambio de filtros F7 y M5 por unidad)</t>
  </si>
  <si>
    <t>A.2.1.A15</t>
  </si>
  <si>
    <t>Bomba de agua de 165 m3/h @ 30 mca. Secundaria. Con variadador de frecuencia incorporado. Vertical en linea acople separado. Específica para HVAC.</t>
  </si>
  <si>
    <t>A.2.1.A16</t>
  </si>
  <si>
    <t>Tanque de expansión 500 lts montado en azotea</t>
  </si>
  <si>
    <t>A.2.1.A17</t>
  </si>
  <si>
    <t>Válvula Mariposa principal de apertura y cierre, de 6"</t>
  </si>
  <si>
    <t>A.2.1.A18</t>
  </si>
  <si>
    <t>Válvula Combinada, regulación, cierre y retención de 6"</t>
  </si>
  <si>
    <t>A.2.1.A19</t>
  </si>
  <si>
    <t>Guía de Succión con Filtro de 6"</t>
  </si>
  <si>
    <t>A.2.1.A20</t>
  </si>
  <si>
    <t>Válvulas motorizadas de tres vías para las manejadoras.</t>
  </si>
  <si>
    <t>A.2.1.A21</t>
  </si>
  <si>
    <t>Válvulas motorizadas de tres vías para los fan coils.</t>
  </si>
  <si>
    <t>A.2.1.A22</t>
  </si>
  <si>
    <t>Válvulas motorizadas de dos vías, on/off o modulante para caudal de 0,6 m3/h.</t>
  </si>
  <si>
    <t>A.2.1.A23</t>
  </si>
  <si>
    <t>Válvulas motorizadas de dos vías, on/off o modulante para caudal de 0,9 m3/h.</t>
  </si>
  <si>
    <t>A.2.1.A24</t>
  </si>
  <si>
    <t>Válvulas motorizadas de dos vías, on/off o modulante para caudal de 1,8 m3/h.</t>
  </si>
  <si>
    <t>A.2.1.A25</t>
  </si>
  <si>
    <t>Válvulas motorizadas de dos vías, on/off o modulantepara caudal de 1,23 m3/h.</t>
  </si>
  <si>
    <t>A.2.1.A26</t>
  </si>
  <si>
    <t>Controlador de temperatura ambiente con selector de encendido y apagado, control de velocidad del ventilador y de temperatura y comunicación a protocolo abierto para integración a BMS y contacto magnetico para abertura de ventanas. más reserva (17un.)</t>
  </si>
  <si>
    <t>A.2.1.A27</t>
  </si>
  <si>
    <t>Unidad split con evaporador de pared, de 9,000 btu/h</t>
  </si>
  <si>
    <t>A.2.1.A28</t>
  </si>
  <si>
    <t>Unidad split con evaporador baja silueta, de 18,000 btu/h</t>
  </si>
  <si>
    <t>A.2.1.A29</t>
  </si>
  <si>
    <t>Unidad split con evaporador baja silueta, de 24,000 btu/h</t>
  </si>
  <si>
    <t>B - VENTILACIÓN FORZADA</t>
  </si>
  <si>
    <t>A.2.1.B1</t>
  </si>
  <si>
    <t>Extractor tipo JETFAN de 3.600 m3/h subsuelo 1</t>
  </si>
  <si>
    <t>A.2.1.B2</t>
  </si>
  <si>
    <t>Detectores de monoxido de carbono (CO) para accionamiento JETFAN</t>
  </si>
  <si>
    <t>A.2.1.B3</t>
  </si>
  <si>
    <t>Extractor para cocina con colector de grasa de 7.600 m3/h Comedor bloque E</t>
  </si>
  <si>
    <t>A.2.1.B4</t>
  </si>
  <si>
    <t>Extractor para cocina con colector de grasa de 2.000 m3/h Cocina Guarderia</t>
  </si>
  <si>
    <t>A.2.1.B5</t>
  </si>
  <si>
    <t xml:space="preserve">Extractor Helicoidal tubular 1.000 m3/h y 5mmca subsuelo 1 </t>
  </si>
  <si>
    <t>A.2.1.B6</t>
  </si>
  <si>
    <t xml:space="preserve">Extractor Helicoidal tubular 100 m3/h y 5mmca subsuelo 1 </t>
  </si>
  <si>
    <t>A.2.1.B7</t>
  </si>
  <si>
    <t xml:space="preserve">Inyector Helicoidal tubular 2,500 m3/h y 5mmca subsuelo 1 </t>
  </si>
  <si>
    <t>A.2.1.B8</t>
  </si>
  <si>
    <t>Presurizador centrifugo 7.000 m3/h para escaleras de emergencia.</t>
  </si>
  <si>
    <t>A.2.1.B9</t>
  </si>
  <si>
    <t>Presurizador centrifugo 4.000 m3/h para escaleras de emergencia.</t>
  </si>
  <si>
    <t>2. MATERIALES, MONTAJE Y PUESTA EN MARCHA</t>
  </si>
  <si>
    <t>A - PLANTA SUBSUELO 2</t>
  </si>
  <si>
    <t>Aire Acondicionado</t>
  </si>
  <si>
    <t>A.2.2.A1</t>
  </si>
  <si>
    <t>Cañería de polipropileno soldable por termofusión, con aislación.
Diametro 32mm</t>
  </si>
  <si>
    <t>A.2.2.A2</t>
  </si>
  <si>
    <t>Cañería de polipropileno soldable por termofusión, con aislación.
Diametro 25mm</t>
  </si>
  <si>
    <t>A.2.2.A3</t>
  </si>
  <si>
    <t>Colocación de equipos adosados a la losa. Fancoil, Unidad Split y Recuperadores de Calor</t>
  </si>
  <si>
    <t>A.2.2.A4</t>
  </si>
  <si>
    <t>Cañerías de drenaje en PVC soldable</t>
  </si>
  <si>
    <t>A.2.2.A5</t>
  </si>
  <si>
    <t>Conexión de Fancoils, incluyendo llaves de cierre de igual diámetro con las cañerías</t>
  </si>
  <si>
    <t>A.2.2.A6</t>
  </si>
  <si>
    <t>Materiales menores</t>
  </si>
  <si>
    <t>A.2.2.A7</t>
  </si>
  <si>
    <t>Ductos de chapa galvanizada con aislación</t>
  </si>
  <si>
    <t>A.2.2.A8</t>
  </si>
  <si>
    <t>Ducto flexible 30 cm</t>
  </si>
  <si>
    <t>A.2.2.A9</t>
  </si>
  <si>
    <t>Ducto flexible 25 cm</t>
  </si>
  <si>
    <t>A.2.2.A10</t>
  </si>
  <si>
    <t>Ducto flexible 20 cm</t>
  </si>
  <si>
    <t>A.2.2.A11</t>
  </si>
  <si>
    <t>Ducto flexible 15 cm</t>
  </si>
  <si>
    <t>A.2.2.A12</t>
  </si>
  <si>
    <t>Difusor tipo panel de 60,5x60,5 para insuflamiento de aire (p/cielo raso de placas)</t>
  </si>
  <si>
    <t>A.2.2.A13</t>
  </si>
  <si>
    <t>Reja de retorno tipo AR basculante 60,5x60,5</t>
  </si>
  <si>
    <t>A.2.2.A14</t>
  </si>
  <si>
    <t>Reja tipo VAT 45x20</t>
  </si>
  <si>
    <t>Ventilación Forzada</t>
  </si>
  <si>
    <t>A.2.2.A15</t>
  </si>
  <si>
    <t>Ductos de chapa galvanizada. Medida según plano.</t>
  </si>
  <si>
    <t>A.2.2.A16</t>
  </si>
  <si>
    <t>Difusor circular 30 cm</t>
  </si>
  <si>
    <t>A.2.2.A17</t>
  </si>
  <si>
    <t>A.2.2.A18</t>
  </si>
  <si>
    <t>A.2.2.A19</t>
  </si>
  <si>
    <t>A.2.2.A20</t>
  </si>
  <si>
    <t>A.2.2.A21</t>
  </si>
  <si>
    <t>B - SUBSUELO 1</t>
  </si>
  <si>
    <t>A.2.2.B1</t>
  </si>
  <si>
    <t>Cañería de polipropileno soldable por termofusión, con aislación.
Diametro 90mm</t>
  </si>
  <si>
    <t>A.2.2.B2</t>
  </si>
  <si>
    <t>Cañería de polipropileno soldable por termofusión, con aislación.
Diametro 75mm</t>
  </si>
  <si>
    <t>A.2.2.B3</t>
  </si>
  <si>
    <t>Cañería de polipropileno soldable por termofusión, con aislación.
Diametro 63mm</t>
  </si>
  <si>
    <t>A.2.2.B4</t>
  </si>
  <si>
    <t>Cañería de polipropileno soldable por termofusión, con aislación.
Diametro 50m</t>
  </si>
  <si>
    <t>A.2.2.B5</t>
  </si>
  <si>
    <t>Cañería de polipropileno soldable por termofusión, con aislación.
Diametro 40mm</t>
  </si>
  <si>
    <t>A.2.2.B6</t>
  </si>
  <si>
    <t>A.2.2.B7</t>
  </si>
  <si>
    <t>A.2.2.B8</t>
  </si>
  <si>
    <t>A.2.2.B9</t>
  </si>
  <si>
    <t>A.2.2.B10</t>
  </si>
  <si>
    <t>A.2.2.B11</t>
  </si>
  <si>
    <t>A.2.2.B12</t>
  </si>
  <si>
    <t>A.2.2.B13</t>
  </si>
  <si>
    <t>A.2.2.B14</t>
  </si>
  <si>
    <t>A.2.2.B15</t>
  </si>
  <si>
    <t>A.2.2.B16</t>
  </si>
  <si>
    <t>A.2.2.B17</t>
  </si>
  <si>
    <t>A.2.2.B18</t>
  </si>
  <si>
    <t>A.2.2.B19</t>
  </si>
  <si>
    <t>A.2.2.B20</t>
  </si>
  <si>
    <t>A.2.2.B21</t>
  </si>
  <si>
    <t>Difusor para insuflamiento de aire DLQ 45x45 (p/cielo raso a junta tomada)</t>
  </si>
  <si>
    <t>A.2.2.B22</t>
  </si>
  <si>
    <t>A.2.2.B23</t>
  </si>
  <si>
    <t>Reja VAT 30 cm x30 cm</t>
  </si>
  <si>
    <t>A.2.2.B24</t>
  </si>
  <si>
    <t>Reja VAT 120 cm x 60 cm para RDC</t>
  </si>
  <si>
    <t>A.2.2.B25</t>
  </si>
  <si>
    <t>Reja VAT 60 cm x 60 cm para RDC</t>
  </si>
  <si>
    <t>A.2.2.B26</t>
  </si>
  <si>
    <t xml:space="preserve">Reja VAT 40cmx20cm </t>
  </si>
  <si>
    <t>A.2.2.B27</t>
  </si>
  <si>
    <t xml:space="preserve">Reja VAT 30cmx10cm </t>
  </si>
  <si>
    <t>A.2.2.B28</t>
  </si>
  <si>
    <t>A.2.2.B29</t>
  </si>
  <si>
    <t>A.2.2.B30</t>
  </si>
  <si>
    <t>A.2.2.B31</t>
  </si>
  <si>
    <t>A.2.2.B32</t>
  </si>
  <si>
    <t>A.2.2.B33</t>
  </si>
  <si>
    <t>A.2.2.B34</t>
  </si>
  <si>
    <t>Conexión y puesta en marcha de extractores</t>
  </si>
  <si>
    <t>A.2.2.B35</t>
  </si>
  <si>
    <t>Conexión y puesta en marcha de extractores tipo JETFAN</t>
  </si>
  <si>
    <t>A.2.2.B36</t>
  </si>
  <si>
    <t>Campana de acero inoxidable con sistema de grasero perimetral, descarga para limpieza, filtro trampa en acero inoxidable. Dimensiones 1,10x0,70. H=0,90m</t>
  </si>
  <si>
    <t>A.2.2.B37</t>
  </si>
  <si>
    <t>C - PLANTA BAJA</t>
  </si>
  <si>
    <t>A.2.2.C1</t>
  </si>
  <si>
    <t>A.2.2.C2</t>
  </si>
  <si>
    <t>A.2.2.C3</t>
  </si>
  <si>
    <t>A.2.2.C4</t>
  </si>
  <si>
    <t>A.2.2.C5</t>
  </si>
  <si>
    <t>A.2.2.C6</t>
  </si>
  <si>
    <t>A.2.2.C7</t>
  </si>
  <si>
    <t>A.2.2.C8</t>
  </si>
  <si>
    <t>A.2.2.C9</t>
  </si>
  <si>
    <t>A.2.2.C10</t>
  </si>
  <si>
    <t>A.2.2.C11</t>
  </si>
  <si>
    <t>A.2.2.C12</t>
  </si>
  <si>
    <t>A.2.2.C13</t>
  </si>
  <si>
    <t>A.2.2.C14</t>
  </si>
  <si>
    <t>A.2.2.C15</t>
  </si>
  <si>
    <t>A.2.2.C16</t>
  </si>
  <si>
    <t>A.2.2.C17</t>
  </si>
  <si>
    <t>A.2.2.C18</t>
  </si>
  <si>
    <t>A.2.2.C19</t>
  </si>
  <si>
    <t>A.2.2.C20</t>
  </si>
  <si>
    <t>Reja tipo VAT 60x30</t>
  </si>
  <si>
    <t>A.2.2.C21</t>
  </si>
  <si>
    <t>A.2.2.C22</t>
  </si>
  <si>
    <t>Tobera TJN 25cm</t>
  </si>
  <si>
    <t>A.2.2.C23</t>
  </si>
  <si>
    <t>A.2.2.C24</t>
  </si>
  <si>
    <t>A.2.2.C25</t>
  </si>
  <si>
    <t>A.2.2.C26</t>
  </si>
  <si>
    <t>A.2.2.C27</t>
  </si>
  <si>
    <t>A.2.2.C28</t>
  </si>
  <si>
    <t>Reja VAT 45 cm x 25 cm</t>
  </si>
  <si>
    <t>A.2.2.C29</t>
  </si>
  <si>
    <t>A.2.2.C30</t>
  </si>
  <si>
    <t>A.2.2.C31</t>
  </si>
  <si>
    <t>A.2.2.C32</t>
  </si>
  <si>
    <t>A.2.2.C33</t>
  </si>
  <si>
    <t>A.2.2.C34</t>
  </si>
  <si>
    <t>Ductos de chapa galvanizada rectangulares calibre 24 para montante de presurizacion</t>
  </si>
  <si>
    <t>A.2.2.C35</t>
  </si>
  <si>
    <t>Reja VAT 40 cm x 40 cm (para escalera presurizada)</t>
  </si>
  <si>
    <t>A.2.2.C36</t>
  </si>
  <si>
    <t>Montaje de Presurizador centrifugo para escaleras de emergencia.</t>
  </si>
  <si>
    <t>A.2.2.C37</t>
  </si>
  <si>
    <t>montaje de extractor para cocina con colector de grasa de 2.000 m3/h Cocina Guarderia</t>
  </si>
  <si>
    <t>A.2.2.C38</t>
  </si>
  <si>
    <t>D - PRIMER PISO</t>
  </si>
  <si>
    <t>A.2.2.D1</t>
  </si>
  <si>
    <t>A.2.2.D2</t>
  </si>
  <si>
    <t>A.2.2.D3</t>
  </si>
  <si>
    <t>A.2.2.D4</t>
  </si>
  <si>
    <t>A.2.2.D5</t>
  </si>
  <si>
    <t>A.2.2.D6</t>
  </si>
  <si>
    <t>A.2.2.D7</t>
  </si>
  <si>
    <t>A.2.2.D8</t>
  </si>
  <si>
    <t>A.2.2.D9</t>
  </si>
  <si>
    <t>A.2.2.D10</t>
  </si>
  <si>
    <t>A.2.2.D11</t>
  </si>
  <si>
    <t>A.2.2.D12</t>
  </si>
  <si>
    <t>A.2.2.D13</t>
  </si>
  <si>
    <t>A.2.2.D14</t>
  </si>
  <si>
    <t>A.2.2.D15</t>
  </si>
  <si>
    <t>A.2.2.D16</t>
  </si>
  <si>
    <t>A.2.2.D17</t>
  </si>
  <si>
    <t>A.2.2.D18</t>
  </si>
  <si>
    <t>A.2.2.D19</t>
  </si>
  <si>
    <t>A.2.2.D20</t>
  </si>
  <si>
    <t>A.2.2.D21</t>
  </si>
  <si>
    <t>A.2.2.D22</t>
  </si>
  <si>
    <t>A.2.2.D23</t>
  </si>
  <si>
    <t>A.2.2.D24</t>
  </si>
  <si>
    <t>A.2.2.D25</t>
  </si>
  <si>
    <t>A.2.2.D26</t>
  </si>
  <si>
    <t>A.2.2.D27</t>
  </si>
  <si>
    <t>A.2.2.D28</t>
  </si>
  <si>
    <t>A.2.2.D29</t>
  </si>
  <si>
    <t>A.2.2.D30</t>
  </si>
  <si>
    <t>A.2.2.D31</t>
  </si>
  <si>
    <t>montaje de extractor para cocina con colector de grasa de 7.600 m3/h Cocina Guarderia</t>
  </si>
  <si>
    <t>A.2.2.D32</t>
  </si>
  <si>
    <t>E - SEGUNDO PISO</t>
  </si>
  <si>
    <t>A.2.2.E1</t>
  </si>
  <si>
    <t>A.2.2.E2</t>
  </si>
  <si>
    <t>A.2.2.E3</t>
  </si>
  <si>
    <t>A.2.2.E4</t>
  </si>
  <si>
    <t>A.2.2.E5</t>
  </si>
  <si>
    <t>A.2.2.E6</t>
  </si>
  <si>
    <t>A.2.2.E7</t>
  </si>
  <si>
    <t>A.2.2.E8</t>
  </si>
  <si>
    <t>A.2.2.E9</t>
  </si>
  <si>
    <t>A.2.2.E10</t>
  </si>
  <si>
    <t>A.2.2.E11</t>
  </si>
  <si>
    <t>A.2.2.E12</t>
  </si>
  <si>
    <t>A.2.2.E13</t>
  </si>
  <si>
    <t>A.2.2.E14</t>
  </si>
  <si>
    <t>A.2.2.E15</t>
  </si>
  <si>
    <t>A.2.2.E16</t>
  </si>
  <si>
    <t>A.2.2.E17</t>
  </si>
  <si>
    <t>A.2.2.E18</t>
  </si>
  <si>
    <t>A.2.2.E19</t>
  </si>
  <si>
    <t>A.2.2.E20</t>
  </si>
  <si>
    <t>A.2.2.E21</t>
  </si>
  <si>
    <t>A.2.2.E22</t>
  </si>
  <si>
    <t>A.2.2.E23</t>
  </si>
  <si>
    <t>A.2.2.E24</t>
  </si>
  <si>
    <t>A.2.2.E25</t>
  </si>
  <si>
    <t>A.2.2.E26</t>
  </si>
  <si>
    <t>A.2.2.E27</t>
  </si>
  <si>
    <t>A.2.2.E28</t>
  </si>
  <si>
    <t>A.2.2.E29</t>
  </si>
  <si>
    <t>A.2.2.E30</t>
  </si>
  <si>
    <t>F - TERCER PISO</t>
  </si>
  <si>
    <t>A.2.2.F1</t>
  </si>
  <si>
    <t>A.2.2.F2</t>
  </si>
  <si>
    <t>A.2.2.F3</t>
  </si>
  <si>
    <t>A.2.2.F4</t>
  </si>
  <si>
    <t>A.2.2.F5</t>
  </si>
  <si>
    <t>A.2.2.F6</t>
  </si>
  <si>
    <t>A.2.2.F7</t>
  </si>
  <si>
    <t>A.2.2.F8</t>
  </si>
  <si>
    <t>A.2.2.F9</t>
  </si>
  <si>
    <t>A.2.2.F10</t>
  </si>
  <si>
    <t>A.2.2.F11</t>
  </si>
  <si>
    <t>A.2.2.F12</t>
  </si>
  <si>
    <t>A.2.2.F13</t>
  </si>
  <si>
    <t>A.2.2.F14</t>
  </si>
  <si>
    <t>A.2.2.F15</t>
  </si>
  <si>
    <t>A.2.2.F16</t>
  </si>
  <si>
    <t>A.2.2.F17</t>
  </si>
  <si>
    <t>A.2.2.F18</t>
  </si>
  <si>
    <t>A.2.2.F19</t>
  </si>
  <si>
    <t>A.2.2.F20</t>
  </si>
  <si>
    <t>A.2.2.F21</t>
  </si>
  <si>
    <t>A.2.2.F22</t>
  </si>
  <si>
    <t>A.2.2.F23</t>
  </si>
  <si>
    <t>A.2.2.F24</t>
  </si>
  <si>
    <t>A.2.2.F25</t>
  </si>
  <si>
    <t>A.2.2.F26</t>
  </si>
  <si>
    <t>A.2.2.F27</t>
  </si>
  <si>
    <t>A.2.2.F28</t>
  </si>
  <si>
    <t>A.2.2.F29</t>
  </si>
  <si>
    <t>A.2.2.F30</t>
  </si>
  <si>
    <t>G - CUARTO PISO</t>
  </si>
  <si>
    <t>A.2.2.G1</t>
  </si>
  <si>
    <t>A.2.2.G2</t>
  </si>
  <si>
    <t>A.2.2.G3</t>
  </si>
  <si>
    <t>A.2.2.G4</t>
  </si>
  <si>
    <t>A.2.2.G5</t>
  </si>
  <si>
    <t>A.2.2.G6</t>
  </si>
  <si>
    <t>A.2.2.G7</t>
  </si>
  <si>
    <t>A.2.2.G8</t>
  </si>
  <si>
    <t>A.2.2.G9</t>
  </si>
  <si>
    <t>A.2.2.G10</t>
  </si>
  <si>
    <t>A.2.2.G11</t>
  </si>
  <si>
    <t>A.2.2.G12</t>
  </si>
  <si>
    <t>A.2.2.G13</t>
  </si>
  <si>
    <t>A.2.2.G14</t>
  </si>
  <si>
    <t>A.2.2.G15</t>
  </si>
  <si>
    <t>A.2.2.G16</t>
  </si>
  <si>
    <t>A.2.2.G17</t>
  </si>
  <si>
    <t>A.2.2.G18</t>
  </si>
  <si>
    <t>A.2.2.G19</t>
  </si>
  <si>
    <t>Reja tipo VAT 31x10</t>
  </si>
  <si>
    <t>A.2.2.G20</t>
  </si>
  <si>
    <t>A.2.2.G21</t>
  </si>
  <si>
    <t>A.2.2.G22</t>
  </si>
  <si>
    <t>A.2.2.G23</t>
  </si>
  <si>
    <t>A.2.2.G24</t>
  </si>
  <si>
    <t>A.2.2.G25</t>
  </si>
  <si>
    <t>A.2.2.G26</t>
  </si>
  <si>
    <t>A.2.2.G27</t>
  </si>
  <si>
    <t>A.2.2.G28</t>
  </si>
  <si>
    <t>A.2.2.G29</t>
  </si>
  <si>
    <t>A.2.2.G30</t>
  </si>
  <si>
    <t>A.2.2.G31</t>
  </si>
  <si>
    <t>H - QUINTO PISO</t>
  </si>
  <si>
    <t>A.2.2.H1</t>
  </si>
  <si>
    <t>A.2.2.H2</t>
  </si>
  <si>
    <t>A.2.2.H3</t>
  </si>
  <si>
    <t>A.2.2.H4</t>
  </si>
  <si>
    <t>A.2.2.H5</t>
  </si>
  <si>
    <t>A.2.2.H6</t>
  </si>
  <si>
    <t>A.2.2.H7</t>
  </si>
  <si>
    <t>A.2.2.H8</t>
  </si>
  <si>
    <t>A.2.2.H9</t>
  </si>
  <si>
    <t>A.2.2.H10</t>
  </si>
  <si>
    <t>A.2.2.H11</t>
  </si>
  <si>
    <t>A.2.2.H12</t>
  </si>
  <si>
    <t>A.2.2.H13</t>
  </si>
  <si>
    <t>A.2.2.H14</t>
  </si>
  <si>
    <t>A.2.2.H15</t>
  </si>
  <si>
    <t>A.2.2.H16</t>
  </si>
  <si>
    <t>A.2.2.H17</t>
  </si>
  <si>
    <t>A.2.2.H18</t>
  </si>
  <si>
    <t>A.2.2.H19</t>
  </si>
  <si>
    <t>A.2.2.H20</t>
  </si>
  <si>
    <t>A.2.2.H21</t>
  </si>
  <si>
    <t>A.2.2.H22</t>
  </si>
  <si>
    <t>A.2.2.H23</t>
  </si>
  <si>
    <t>A.2.2.H24</t>
  </si>
  <si>
    <t>A.2.2.H25</t>
  </si>
  <si>
    <t>A.2.2.H26</t>
  </si>
  <si>
    <t>A.2.2.H27</t>
  </si>
  <si>
    <t>A.2.2.H28</t>
  </si>
  <si>
    <t>A.2.2.H29</t>
  </si>
  <si>
    <t>A.2.2.H30</t>
  </si>
  <si>
    <t>I - SEXTO PISO - AZOTEA</t>
  </si>
  <si>
    <t>A.2.2.I1</t>
  </si>
  <si>
    <t>A.2.2.I2</t>
  </si>
  <si>
    <t>A.2.2.I3</t>
  </si>
  <si>
    <t>A.2.2.I4</t>
  </si>
  <si>
    <t>A.2.2.I5</t>
  </si>
  <si>
    <t>A.2.2.I6</t>
  </si>
  <si>
    <t>A.2.2.I7</t>
  </si>
  <si>
    <t>A.2.2.I8</t>
  </si>
  <si>
    <t>A.2.2.I9</t>
  </si>
  <si>
    <t>A.2.2.I10</t>
  </si>
  <si>
    <t>A.2.2.I11</t>
  </si>
  <si>
    <t>A.2.2.I12</t>
  </si>
  <si>
    <t>A.2.2.I13</t>
  </si>
  <si>
    <t>A.2.2.I14</t>
  </si>
  <si>
    <t>A.2.2.I15</t>
  </si>
  <si>
    <t>A.2.2.I16</t>
  </si>
  <si>
    <t>A.2.2.I17</t>
  </si>
  <si>
    <t>A.2.2.I18</t>
  </si>
  <si>
    <t>A.2.2.I19</t>
  </si>
  <si>
    <t>A.2.2.I20</t>
  </si>
  <si>
    <t>A.2.2.I21</t>
  </si>
  <si>
    <t>A.2.2.I22</t>
  </si>
  <si>
    <t>A.2.2.I23</t>
  </si>
  <si>
    <t>A.2.2.I24</t>
  </si>
  <si>
    <t>A.2.2.I25</t>
  </si>
  <si>
    <t>A.2.2.I26</t>
  </si>
  <si>
    <t>A.2.2.I27</t>
  </si>
  <si>
    <t>J - BLOQUE E</t>
  </si>
  <si>
    <t>A.2.2.J1</t>
  </si>
  <si>
    <t>A.2.2.J2</t>
  </si>
  <si>
    <t>A.2.2.J3</t>
  </si>
  <si>
    <t>A.2.2.J4</t>
  </si>
  <si>
    <t>A.2.2.J5</t>
  </si>
  <si>
    <t>A.2.2.J6</t>
  </si>
  <si>
    <t>A.2.2.J7</t>
  </si>
  <si>
    <t>A.2.2.J8</t>
  </si>
  <si>
    <t>Conexión de Unidades Manejadoras de Aire, incluyendo llaves de cierre de igual diámetro con las cañerías</t>
  </si>
  <si>
    <t>A.2.2.J9</t>
  </si>
  <si>
    <t>A.2.2.J10</t>
  </si>
  <si>
    <t>A.2.2.J11</t>
  </si>
  <si>
    <t>Campana de acero inoxidable con sistema de grasero perimetral, descarga para limpieza, filtro trampa en acero inoxidable. Dimensiones 3,00x0,90. H=0,90m</t>
  </si>
  <si>
    <t>A.2.2.J12</t>
  </si>
  <si>
    <t>K - SALA DE MAQUINAS Y MONTANTES DE CAÑERÍAS - AIRE ACONDICIONADO</t>
  </si>
  <si>
    <t>Sala de Máquinas</t>
  </si>
  <si>
    <t>A.2.2.K1</t>
  </si>
  <si>
    <t>Cañería circuito primario de hierro negro tipo manesman de  4", con aislación térmica y mecánica, conexión de sala de bombas a montante, incluye soportes.</t>
  </si>
  <si>
    <t>A.2.2.K2</t>
  </si>
  <si>
    <t>Colector de agua fria, de chapa doblada de esp 20mm, de 20 pulg diametro. Y largo de 5m. Incluye bridas de conexiones a bombas, aislacion y soportes según diseño.</t>
  </si>
  <si>
    <t>A.2.2.K3</t>
  </si>
  <si>
    <t>Válvula mariposa de 4" montaje con bridas. Circuito primario</t>
  </si>
  <si>
    <t>A.2.2.K4</t>
  </si>
  <si>
    <t>Válvula mariposa de 4" montaje con bridas para conexiones de chiller</t>
  </si>
  <si>
    <t>A.2.2.K5</t>
  </si>
  <si>
    <t>Válvula mariposa de 4" montaje con bridas para motobomba</t>
  </si>
  <si>
    <t>A.2.2.K6</t>
  </si>
  <si>
    <t>Llave de paso de 1/2" de media vuelta 2 mts de cañeria de 1/2" y 3 valvulas para medicion de presion, 1 manometro con glicerina (cuadro de medicion de presion)</t>
  </si>
  <si>
    <t>A.2.2.K7</t>
  </si>
  <si>
    <t>Junta flexible para conexiones de chillers</t>
  </si>
  <si>
    <t>A.2.2.K8</t>
  </si>
  <si>
    <t>Válvula mariposa de 6" montaje con bridas para montantes</t>
  </si>
  <si>
    <t>A.2.2.K9</t>
  </si>
  <si>
    <t>Flow switch</t>
  </si>
  <si>
    <t>A.2.2.K10</t>
  </si>
  <si>
    <t>Termómetros digitales, ubicados en las salidas de los equipos chiller, salida bomba secundaria y retorno.</t>
  </si>
  <si>
    <t>A.2.2.K11</t>
  </si>
  <si>
    <t>Manómetros con glicerina para momtaje en intemperie.</t>
  </si>
  <si>
    <t>A.2.2.K12</t>
  </si>
  <si>
    <t>Montaje de equipos con grúa</t>
  </si>
  <si>
    <t>A.2.2.K13</t>
  </si>
  <si>
    <t>Purgadores de aire</t>
  </si>
  <si>
    <t>A.2.2.K14</t>
  </si>
  <si>
    <t>Llave de paso de 1/2" de media vuelta  para manometros, termometros y reserva</t>
  </si>
  <si>
    <t>A.2.2.K15</t>
  </si>
  <si>
    <t>Llave de paso de 1" para purga de colector y carga de montantes</t>
  </si>
  <si>
    <t>A.2.2.K16</t>
  </si>
  <si>
    <t>Provisión y montaje de tablero eléctrico para chillers y bombas: gabinete, disyuntor, contactores, otros dispositivos para mando y monitoreo, puesta a tierra</t>
  </si>
  <si>
    <t>A.2.2.K17</t>
  </si>
  <si>
    <t>Provisión y montaje de banco de capacitores en tablero eléctrico para chillers y bombas</t>
  </si>
  <si>
    <t>A.2.2.K18</t>
  </si>
  <si>
    <t>Conexiones de chillers</t>
  </si>
  <si>
    <t>A.2.2.K19</t>
  </si>
  <si>
    <t>Conexiones de bombas</t>
  </si>
  <si>
    <t>A.2.2.K20</t>
  </si>
  <si>
    <t>A.2.2.K21</t>
  </si>
  <si>
    <t>Puesta en marcha y pruebas del sistema</t>
  </si>
  <si>
    <t>A.2.2.K22</t>
  </si>
  <si>
    <t>Limpieza y tratamiento del agua del sistema</t>
  </si>
  <si>
    <t>Cañerias de distribucion principal</t>
  </si>
  <si>
    <t>A.2.2.K23</t>
  </si>
  <si>
    <t>Cañeria de polietileno de alta densidad (PEAD), diametro 180mm / SDR 17 / PN10 / PE100 con aislacion termica, enterrado a 1,5 mts del nivel del suelo.</t>
  </si>
  <si>
    <t>A.2.2.K24</t>
  </si>
  <si>
    <t>Cañeria de polietileno de alta densidad (PEAD), diametro 125mm / SDR 17 / PN10 / PE100 con aislacion termica, enterrado a 1,5 mts del nivel del suelo.</t>
  </si>
  <si>
    <t>A.2.2.K25</t>
  </si>
  <si>
    <t xml:space="preserve">Cañería de polipropileno de 75mm, con aislación térmica y mecanica en zonas expuestas, tratamiento para aterramiento y cama de arena lavada en zonas enterradas </t>
  </si>
  <si>
    <t>A.2.2.K26</t>
  </si>
  <si>
    <t xml:space="preserve">Cañería de polipropileno de 63mm, con aislación térmica y mecanica en zonas expuestas, tratamiento para aterramiento y cama de arena lavada en zonas enterradas </t>
  </si>
  <si>
    <t>A.2.2.K27</t>
  </si>
  <si>
    <t xml:space="preserve">Cañería de polipropileno de 40mm, con aislación térmica y mecanica en zonas expuestas, tratamiento para aterramiento y cama de arena lavada en zonas enterradas </t>
  </si>
  <si>
    <t xml:space="preserve">Montante </t>
  </si>
  <si>
    <t>A.2.2.K28</t>
  </si>
  <si>
    <t>Cañeria de hierro negro tipo maneman de 6" con ailacion termica y mecanica en zonas expuestas.</t>
  </si>
  <si>
    <t>A.2.2.K29</t>
  </si>
  <si>
    <t>Cañeria de hierro negro tipo maneman de 5" con ailacion termica y mecanica en zonas expuestas.</t>
  </si>
  <si>
    <t>A.2.2.K30</t>
  </si>
  <si>
    <t>Cañeria de hierro negro tipo maneman de 4" con ailacion termica y mecanica en zonas expuestas.</t>
  </si>
  <si>
    <t>A.2.2.K31</t>
  </si>
  <si>
    <t>Cañeria de hierro negro tipo maneman de 3" con ailacion termica y mecanica en zonas expuestas.</t>
  </si>
  <si>
    <t>A.2.2.K32</t>
  </si>
  <si>
    <t>Cañeria de hierro negro tipo maneman de 2" con ailacion termica y mecanica en zonas expuestas.</t>
  </si>
  <si>
    <t>A.2.2.K33</t>
  </si>
  <si>
    <t>Niple de 3" hierro negro de 50cm para brote de troncal de agua</t>
  </si>
  <si>
    <t>A.2.2.K34</t>
  </si>
  <si>
    <t>Valvula Mariposa de 3" en acero para montaje entrebridas</t>
  </si>
  <si>
    <t>A.2.2.K35</t>
  </si>
  <si>
    <t>Niple de 2 1/2" hierro negro de 50cm para brote de troncal de agua</t>
  </si>
  <si>
    <t>A.2.2.K36</t>
  </si>
  <si>
    <t>Valvula Mariposa de 2 1/2"  en acero para montaje entrebridas</t>
  </si>
  <si>
    <t>A.2.2.K37</t>
  </si>
  <si>
    <t>Niple de 2" hierro negro de 50cm para brote de troncal de agua</t>
  </si>
  <si>
    <t>A.2.2.K38</t>
  </si>
  <si>
    <t>Valvula Mariposa de 2" en acero para montaje entrebridas</t>
  </si>
  <si>
    <t>A.2.2.K39</t>
  </si>
  <si>
    <t>Cañería de polipropileno de 63mm, con aislación térmica, incluye soportes para conexión de montante a Tanque de expansion</t>
  </si>
  <si>
    <t>A.2.2.K40</t>
  </si>
  <si>
    <t>Purgadores de aire automatico de 1" diametro</t>
  </si>
  <si>
    <t>A.2.2.K41</t>
  </si>
  <si>
    <t>Tanque de expansion de 500 lts, tipo botellon de polipropileno</t>
  </si>
  <si>
    <t>L - SISTEMA DE CONTROL Y OTROS</t>
  </si>
  <si>
    <t>A.2.2.L1</t>
  </si>
  <si>
    <t>Provisión e Instalación de software de adquisición de datos e Interfaz de Usuario, parametrización y programación, desarrollo de la Interfaz de Usuario.</t>
  </si>
  <si>
    <t>A.2.2.L2</t>
  </si>
  <si>
    <t>Montaje de la red, controladores de ambiente, programación de los mismos e interconexión a UMAs y fan coils. Integración a la red de controladores de, chillers, variadores de velocidad, a protocolo de comunicación abierto, KNX serial o IP, BACnet IP o Modbus TCP/IP.</t>
  </si>
  <si>
    <t>A.2.2.L3</t>
  </si>
  <si>
    <t>Provisión, instalación física e integración lógica de controlador para planta de frío, para el comando automatizado según calendario, de bombas secundarias, chillers.</t>
  </si>
  <si>
    <t>A.2.2.L4</t>
  </si>
  <si>
    <t>Asistencia técnica y mano de obra calificada para la integración del sistema al BMS de Integración Electrónica</t>
  </si>
  <si>
    <t>A.2.2.L5</t>
  </si>
  <si>
    <t>Manuales de operación y mantenimiento en idioma español</t>
  </si>
  <si>
    <t>A.2.2.L6</t>
  </si>
  <si>
    <t>Capacitación a funcionarios para operación y control del sistema</t>
  </si>
  <si>
    <t>Sub Total A.2 - SISTEMA DE CLIMATIZACION</t>
  </si>
  <si>
    <t>A.3 PLANILLA DE CÓMPUTO MÉTRICO Y PRESUPUESTO - INTEGRACIÓN ELECTRÓNICA</t>
  </si>
  <si>
    <t>Cant.</t>
  </si>
  <si>
    <t>A - SISTEMA DE INTEGRACION ELECTRONICA</t>
  </si>
  <si>
    <t>A.3.1.A1</t>
  </si>
  <si>
    <t>IE2</t>
  </si>
  <si>
    <t xml:space="preserve">Servidor principal del sistema, computador de factor de forma para montaje en rack tipo servidor con licencia e instalación de la última versión sistema operativo Windows para servidores. </t>
  </si>
  <si>
    <t>A.3.1.A2</t>
  </si>
  <si>
    <t xml:space="preserve">Computadora personal, con tarjeta de video para 4 monitores HDMI, para la gestion de todos los componentes de los sistemas del edificio. Teclado y raton. Gabinete horizontal. Sistema operativo según especificaciones técnicas.  </t>
  </si>
  <si>
    <t>A.3.1.A3</t>
  </si>
  <si>
    <t>UPS de 3.000 VA para PC de supervisión y servidor</t>
  </si>
  <si>
    <t>A.3.1.A4</t>
  </si>
  <si>
    <t>Software de adquisición de datos e interfaz de usuario, con capacidad para control de al menos 5.000 puntos, protocolos de comunicación KNX, BACnet, Modbus, con base de datos SQL</t>
  </si>
  <si>
    <t>A.3.1.A5</t>
  </si>
  <si>
    <t>Modulo de relays con conexión a bus KNX para montaje en riel DIN, contactores y accesorios para el sistema de control de luces interiores y exteriores del Edificio.</t>
  </si>
  <si>
    <t>A.3.1.A6</t>
  </si>
  <si>
    <t>Modulo de relays con conexión a bus KNX para montaje en riel DIN, contactores y accesorios para el control de extractores de aire del sistema de climatización.</t>
  </si>
  <si>
    <t>A.3.1.A7</t>
  </si>
  <si>
    <t>Medidor de energía trifásico con conexión para bus KNX y montaje en riel DIN.</t>
  </si>
  <si>
    <t>A.3.1.A8</t>
  </si>
  <si>
    <t>Modulo de relays, contactores y equipos activos para el control y comando de tres (3) portones eléctricos.</t>
  </si>
  <si>
    <t>A.3.1.A9</t>
  </si>
  <si>
    <t>Modulo de entradas para integración al bus KNX para el monitorio e indicación de fallas de los distintos sistemas de bombas de agua. Sistema de presurizacion de agua corriente (4 bombas). Sistema de bombas de drenaje (2 bombas). Sistema de Extincion de Incendios (3 bombas). Bombas dosificadoras de cloro (2 bombas), sensores de presencia de agua en subsuelos (2 unidades.)</t>
  </si>
  <si>
    <t>A.3.1.A10</t>
  </si>
  <si>
    <t>Monitor LCD-LED de 21"</t>
  </si>
  <si>
    <t>A.3.1.A11</t>
  </si>
  <si>
    <t>Monitor LCD-LED de 32"</t>
  </si>
  <si>
    <t>A.3.1.A12</t>
  </si>
  <si>
    <t>Soporte para 3 monitores de 21", Base metalica, regulacion de altura metalica, con regulacion de giro e inclinacion independiente.</t>
  </si>
  <si>
    <t>A.3.1.A13</t>
  </si>
  <si>
    <t>Soporte para monitor de 32". Base metalica para montar sobre estructura de madera de montante, permite el giro del monitor e inclinación</t>
  </si>
  <si>
    <t>A.3.1.A14</t>
  </si>
  <si>
    <t>Montante para bajada de cables de señales debiles y electricidad, estructura metalica revestida con madera aglomerada melamina, sistema de desarme de una cara con tornillos. Medidas ver plano INT 15</t>
  </si>
  <si>
    <t>A.3.1.A15</t>
  </si>
  <si>
    <r>
      <rPr>
        <b/>
        <sz val="10"/>
        <rFont val="Arial"/>
        <family val="2"/>
      </rPr>
      <t>Modulo de estacion de trabajo.</t>
    </r>
    <r>
      <rPr>
        <sz val="10"/>
        <rFont val="Arial"/>
        <family val="2"/>
      </rPr>
      <t xml:space="preserve"> Estructura con pedestales metálicos de tubos de acero de sección 50x30mm y 1,2mm de espesor, pintura epoxi en polvo aplicado electroestáticamente, tapas molduradas de PVC en los extremos de los tubos. Plano de trabajo y tapa cubre piernas en placa melamínica de baja presión (BP) de 18mm color a definir; cantoneras de 15x30mm molduradas de goma color negro; reguladores metálicos de altura con bases de goma. Sujeción entre placa y estructura metalica con angulos metalicos y tornillos. Medidas ver plano INT 15</t>
    </r>
  </si>
  <si>
    <t>B - SISTEMA DE ALARMA CONTRA INTRUSOS Y SEGURIDAD</t>
  </si>
  <si>
    <t>A.3.1.B1</t>
  </si>
  <si>
    <t>Central de alarma de 582 zonas con expansores; con módem incorporado que permite conexión a Estación Central de Monitoreo, operada por códigos. La central deberá contar con conexión a algún protocolo de comunicación abierto, KNX serial o IP, BACnet IP o Modbus TCP/IP, para integrarse al BMS, o mediante la provisión de un gateway a alguno de los protocolos citados.</t>
  </si>
  <si>
    <t>A.3.1.B2</t>
  </si>
  <si>
    <t>Teclado alfanumérico de control con pantalla de cristal líquido. Con capacidad de desplegar mensajes acerca del estado del sistema e introducción de códigos de activación y desactivación</t>
  </si>
  <si>
    <t>A.3.1.B3</t>
  </si>
  <si>
    <t>Batería sellada de GEL  7,5 AH, de bajo mantenimiento. Sin vapores tóxicos</t>
  </si>
  <si>
    <t>A.3.1.B4</t>
  </si>
  <si>
    <t>Sirena de 30W para exterior con caja protectora antisabotaje</t>
  </si>
  <si>
    <t>A.3.1.B5</t>
  </si>
  <si>
    <t>Sirena de 20W para interior para alertar a los operarios de la sala de control</t>
  </si>
  <si>
    <t>A.3.1.B6</t>
  </si>
  <si>
    <t>Detector de apertura de puertas, ventanas y portones; contacto magnético externo. Para los portones exteriores se debera considerar para esa utilizacion.</t>
  </si>
  <si>
    <t>A.3.1.B7</t>
  </si>
  <si>
    <t>Detector de movimiento de doble tecnología. Por rayo infrarrojo pasivo y por microondas, con compensación de temperatura, ajuste de alcance y sensibilidad</t>
  </si>
  <si>
    <t>A.3.1.B8</t>
  </si>
  <si>
    <t>Detector de presencia de agua. Ubicado en los tanques de subsuelo a nivel de la cañeria de rebose del tanque.</t>
  </si>
  <si>
    <t>A.3.1.B9</t>
  </si>
  <si>
    <t>Botón pulsador de pánico, para situaciones de emergencia</t>
  </si>
  <si>
    <t>A.3.1.B10</t>
  </si>
  <si>
    <t>Cerradura electromagnética de alta seguridad para puertas de celdas, fuerza 2.000 libras. Con indicador audible y visual de la apertura; comando desde la sala de control y pulsador indicado en el plano</t>
  </si>
  <si>
    <t>A.3.1.B11</t>
  </si>
  <si>
    <t>Cerradura electromagnética para puertas de salas de reuiniones, fuerza 650 libras. Con indicador audible y visual de la apertura; comando desde el mostrador</t>
  </si>
  <si>
    <t>A.3.1.B12</t>
  </si>
  <si>
    <t>Brazo hidráulico tipo Yale, con mecanismo de retorno automático de puertas</t>
  </si>
  <si>
    <t>A.3.1.B13</t>
  </si>
  <si>
    <t>Boton pulsador o sensor de proximidad para apertura de puertas con cerradura electromagnetica</t>
  </si>
  <si>
    <t>C - CONTROL DE ACCESOS CON TARJETAS DE PROXIMIDAD</t>
  </si>
  <si>
    <t>EQUIPOS</t>
  </si>
  <si>
    <t>A.3.1.C1</t>
  </si>
  <si>
    <t>Módulo de control de acceso. Placa controladora de 2 lectores y detección magnética de apertura de puerta. La central deberá contar con conexión a algún protocolo de comunicación abierto, KNX serial o IP, BACnet IP o Modbus TCP/IP, para integrarse al BMS, o mediante la provisión de un gateway a alguno de los protocolos citados.</t>
  </si>
  <si>
    <t>A.3.1.C2</t>
  </si>
  <si>
    <t>Lectores de tarjetas de proximidad con rango de operación entre 10 y 20cm; detector magnético de apertura de puerta</t>
  </si>
  <si>
    <t>A.3.1.C3</t>
  </si>
  <si>
    <t>Cerradura electromagnética de seguridad, fuerza 1.000 libras. Con indicador audible y visual de la apertura; para aberturas de cristal templado o metalicas</t>
  </si>
  <si>
    <t>A.3.1.C4</t>
  </si>
  <si>
    <t>A.3.1.C5</t>
  </si>
  <si>
    <t>Boton pulsador para apertura de puertas con cerradura electromagnetica</t>
  </si>
  <si>
    <t>A.3.1.C6</t>
  </si>
  <si>
    <t>Batería sellada de GEL de 7,5 AH de bajo mantenimiento. Libre de vapores tóxicos</t>
  </si>
  <si>
    <t>A.3.1.C7</t>
  </si>
  <si>
    <t xml:space="preserve">Tarjetas de proximidad para identificación personal </t>
  </si>
  <si>
    <t>A.3.2.A1</t>
  </si>
  <si>
    <t>Cables, cajas, ductos, conectores y otros materiales menores para la operatividad del sistema. En el Subsuelo 2</t>
  </si>
  <si>
    <t>A.3.2.A2</t>
  </si>
  <si>
    <t>Cables, cajas, ductos, conectores y otros materiales menores para la operatividad del sistema. En el Subsuelo 1</t>
  </si>
  <si>
    <t>A.3.2.A3</t>
  </si>
  <si>
    <t>Cables, cajas, ductos, conectores y otros materiales menores para la operatividad del sistema. En Planta Baja</t>
  </si>
  <si>
    <t>A.3.2.A4</t>
  </si>
  <si>
    <t>Cables, cajas, ductos, conectores y otros materiales menores para la operatividad del sistema. En el Primer Piso</t>
  </si>
  <si>
    <t>A.3.2.A5</t>
  </si>
  <si>
    <t>Cables, cajas, ductos, conectores y otros materiales menores para la operatividad del sistema. En el Segundo Piso</t>
  </si>
  <si>
    <t>A.3.2.A6</t>
  </si>
  <si>
    <t>Cables, cajas, ductos, conectores y otros materiales menores para la operatividad del sistema. En el Tercer Piso</t>
  </si>
  <si>
    <t>A.3.2.A7</t>
  </si>
  <si>
    <t>Cables, cajas, ductos, conectores y otros materiales menores para la operatividad del sistema. En el Cuarto Piso</t>
  </si>
  <si>
    <t>A.3.2.A8</t>
  </si>
  <si>
    <t>Cables, cajas, ductos, conectores y otros materiales menores para la operatividad del sistema. En el Quinto Piso</t>
  </si>
  <si>
    <t>A.3.2.A9</t>
  </si>
  <si>
    <t>Cables, cajas, ductos, conectores y otros materiales menores para la operatividad del sistema. En el Sexto Piso</t>
  </si>
  <si>
    <t>A.3.2.A10</t>
  </si>
  <si>
    <t>Cables, cajas, ductos, conectores y otros materiales menores para la operatividad del sistema. En la Azotea</t>
  </si>
  <si>
    <t>A.3.2.A11</t>
  </si>
  <si>
    <t>Arquitectura y diseño de red, desarrollo de gráficos e interfaz de usuario, parametrización y programación de los puntos y lógica de control y calendarios.</t>
  </si>
  <si>
    <t>A.3.2.A12</t>
  </si>
  <si>
    <t>Integración lógica del sistema de ascensores, generador, climatización, alarma contra intrusos, alarma de incendios, control de accesos.</t>
  </si>
  <si>
    <t>A.3.2.A13</t>
  </si>
  <si>
    <t>Instalación, pruebas y puesta en marcha del sistema</t>
  </si>
  <si>
    <t>A.3.2.A14</t>
  </si>
  <si>
    <t>Capacitación y adiestramiento del uso; manuales de operación y mantenimiento</t>
  </si>
  <si>
    <t>A.3.2.B1</t>
  </si>
  <si>
    <t>A.3.2.B2</t>
  </si>
  <si>
    <t>A.3.2.B3</t>
  </si>
  <si>
    <t>A.3.2.B4</t>
  </si>
  <si>
    <t>A.3.2.B5</t>
  </si>
  <si>
    <t>A.3.2.B6</t>
  </si>
  <si>
    <t>A.3.2.B7</t>
  </si>
  <si>
    <t>A.3.2.B8</t>
  </si>
  <si>
    <t>A.3.2.B9</t>
  </si>
  <si>
    <t>A.3.2.B10</t>
  </si>
  <si>
    <t>A.3.2.B11</t>
  </si>
  <si>
    <t>Instalación y puesta en marcha del sistema</t>
  </si>
  <si>
    <t>A.3.2.B12</t>
  </si>
  <si>
    <t>A.3.2.C1</t>
  </si>
  <si>
    <t>A.3.2.C2</t>
  </si>
  <si>
    <t>A.3.2.C3</t>
  </si>
  <si>
    <t>A.3.2.C4</t>
  </si>
  <si>
    <t>A.3.2.C5</t>
  </si>
  <si>
    <t>A.3.2.C6</t>
  </si>
  <si>
    <t>A.3.2.C7</t>
  </si>
  <si>
    <t>A.3.2.C8</t>
  </si>
  <si>
    <t>A.3.2.C9</t>
  </si>
  <si>
    <t>A.3.2.C10</t>
  </si>
  <si>
    <t>A.3.2.C11</t>
  </si>
  <si>
    <t>A.3.2.C12</t>
  </si>
  <si>
    <t>Sub Total A.3 - INTEGRACION ELECTRONICA</t>
  </si>
  <si>
    <t>A.4 PLANILLA DE CÓMPUTO MÉTRICO Y PRESUPUESTO - SEGURIDAD ELECTRÓNICA</t>
  </si>
  <si>
    <t>A - SISTEMA DE DETECCIÓN ELECTRÓNCIA DE INCENDIOS</t>
  </si>
  <si>
    <t>A.4.1.A1</t>
  </si>
  <si>
    <t>IE3</t>
  </si>
  <si>
    <t>Central de alarmas específicamente para incendios; direccionable; capacidad 1500 puntos direccionables, 750 detectores mas 750 modulos. Con lazo de expansión. Incluye teclado alfanumérico de control; con pantalla de cristal liquido. Con capacidad para desplazar mensajes acerca del estado del sistema. Formato de modulo para montaje en Rack. La central deberá contar con conexión a algún protocolo de comunicación abierto, KNX serial o IP, BACnet IP o Modbus TCP/IP, para integrarse al BMS, o mediante la provisión de un gateway a alguno de los protocolos citados.</t>
  </si>
  <si>
    <t>A.4.1.A2</t>
  </si>
  <si>
    <t>Batería sellada de GEL 7,5 AH de bajo mantenimiento. Sin vapores tóxicos para la central de alarmas. La cantidad necesaria para el correcto funcionamiento del sistema</t>
  </si>
  <si>
    <t>A.4.1.A3</t>
  </si>
  <si>
    <t>Sirena de 30w para exterior con caja protectora antisabotaje</t>
  </si>
  <si>
    <t>A.4.1.A4</t>
  </si>
  <si>
    <t>Sirena de 20w para interior</t>
  </si>
  <si>
    <t>A.4.1.A5</t>
  </si>
  <si>
    <t>Detector de humo y calor, direccionable. Detección fotoelectrónica de humo y sensor de variaciones bruscas de temperatura</t>
  </si>
  <si>
    <t>A.4.1.A6</t>
  </si>
  <si>
    <t>Detector termovelocimétrico direccionable. Detección de variaciones bruscas de calor</t>
  </si>
  <si>
    <t>A.4.1.A7</t>
  </si>
  <si>
    <t xml:space="preserve">Accionador manual de alarma de incendio, direccionable </t>
  </si>
  <si>
    <t>A.4.1.A8</t>
  </si>
  <si>
    <t>Detector de movimiento de agua en cañerias de extincion de incendios.</t>
  </si>
  <si>
    <t>A.4.1.A9</t>
  </si>
  <si>
    <t>Alarma audio visual específica para incendios. Sistema interior con luz estroboscópica integrada</t>
  </si>
  <si>
    <t>A.4.1.A10</t>
  </si>
  <si>
    <t>Carteles lumínicos LED de salida de emergencia para la evacuación. Iluminación autónoma</t>
  </si>
  <si>
    <t>A.4.1.A11</t>
  </si>
  <si>
    <t>Equipos para iluminación LED de emergencia. Autónomos.</t>
  </si>
  <si>
    <t>B - CIRCUITO CERRADO DE VIDEO IP (CCTV)</t>
  </si>
  <si>
    <t>A.4.1.B1</t>
  </si>
  <si>
    <t xml:space="preserve">Monitor Color de 21" de alta definición; pantalla LCD-LED; Formato 16:9 (rectangular), de alta resolución. Con control de encendido, contraste y brillo. </t>
  </si>
  <si>
    <t>A.4.1.B2</t>
  </si>
  <si>
    <t xml:space="preserve">Monitor Color de 32" de alta definición; pantalla LCD-LED; Formato 16:9 (rectangular), de alta resolución. Con control de encendido, contraste y brillo. </t>
  </si>
  <si>
    <t>A.4.1.B3</t>
  </si>
  <si>
    <t>Equipo de grabación digital para la administracion de hasta 128 canales, Sistema operativo Windows 10 Pro 64 Bit, Almacenamiento del sistema operativo en disco de estado solido de 500 GB, Almacenamientos de imagenes en 18 discos de 8 TB total  capacidad 144 Tb., conexión a LAN e Internet. Incluir licencias para control remoto. Formato de grabacion h.264 o superior. Sistema de montaje en Rack.</t>
  </si>
  <si>
    <t>A.4.1.B4</t>
  </si>
  <si>
    <t>Equipos de administracion del sistema de camaras en muebles de operario de sala de control. Salida para 4 monitores en simultaneo, 3 de manera continua y 1 para ampliacion de una de las camaras</t>
  </si>
  <si>
    <t>A.4.1.B5</t>
  </si>
  <si>
    <t>Switch de 24 puertos PoE+, con tarjeta de Stack de 10/100/1000.</t>
  </si>
  <si>
    <t>A.4.1.B6</t>
  </si>
  <si>
    <t>Fuente ininterrumpida de energía (UPS) de 3000 VA para equipo de grabacion digital (2), switches (6) y Adm. Y monitores (4), duración mínima 2 (dos) horas</t>
  </si>
  <si>
    <t>A.4.1.B7</t>
  </si>
  <si>
    <t>Cámara IP PoE+ - móvil PTZ para exterior color, resolucion maxima 1920x1080. Sensibilidad a la Luz Color (33ms) 0,20 lux, (250ms) 0,025 lux, Monocromatico (33ms) 0,06 lux, (250ms) 0,008 lux; lente de autoiris de 4,7mm (gran angular) - 94 mm (teleobjetivo), zoom optico 30X / Digital 12X; Sensor CMOS de 9mm. Relacion de Aspecto 16:9. Compresion de Video H.264, MJPEG,  MPEG4. Movimiento PAN (rotación continua), movimiento manual con Joystick y TILT (&lt; 90°) Incluye gabinete para exteriores, Domo inferior ahumado, grado de proteccion IP67. Ventilador desempañador incorporado. Soporte alto en caño galvanizado esmaltado de 2 " de diametro</t>
  </si>
  <si>
    <t>A.4.1.B8</t>
  </si>
  <si>
    <t>Cámara IP PoE+ color. Dispositivo de Imagen 3 Mpx, Sensor CMOS de 8,0mm (1/3,2 pulg.) Resolucion maxima de 1920x1080 (2,1 Mpx); Iluminacion minima f/1.2 Color (33ms) 0.30lux, (200ms) 0.02 lux, Monocromatico (33ms) 0.10 lux, (200ms) 0.01 lux; Lente Varifocal de 13M 2,8-12. Relacion de aspecto 16:9. Compresion de Video H.264, MJPEG,  MPEG4. Ducto flexible de acero inoxidable para cables. Soporte ajustable en 360°</t>
  </si>
  <si>
    <t>A.4.1.B9</t>
  </si>
  <si>
    <t>Cámara IP PoE+ Domo color. Dispositivo de Imagen 2 Mpx, Sensor 1/2,5" CMOS. Resolucion maxima de 1920x1080; Iluminacion minima f/1.4 Color  0.02lux, f/1.4 Monocromatico 0.01 lux; Lente Varifocal de 3,3-10. Relacion de aspecto 16:9. Compresion de Video H.264, MJPEG,  MPEG4. A fijar en cielorraso</t>
  </si>
  <si>
    <t>A.4.1.B10</t>
  </si>
  <si>
    <t>Cámara IP PoE+ color Oculta en dispositivo similar a detector de Humo Calor. Dispositivo de Imagen 2 Mpx, Sensor 1/2,5" CMOS. Resolucion maxima de 1920x1080; Iluminacion minima f/1.4 Color  0.02lux, f/1.4 Monocromatico 0.01 lux; Lente fijo de 4mm. Relacion de aspecto 16:9. Compresion de Video H.264, MJPEG, MPEG4 . A fijar en cielorraso</t>
  </si>
  <si>
    <t>A.4.1.B11</t>
  </si>
  <si>
    <t>Gabinete para exteriores. Alojamiento para cámaras de CCTV  para protegerlas de los rigores de la intemperie. Soporte en caño galvanizado esmaltado de 2 "</t>
  </si>
  <si>
    <t>A.4.1.B12</t>
  </si>
  <si>
    <t>Rack abierto de 2 parantes 49u para montaje de equipos de CCTV</t>
  </si>
  <si>
    <t>C - GRABACION EN CAMARA GESSEL - SISTEMA DE VIDEO Y GRABACION</t>
  </si>
  <si>
    <t>A.4.1.C1</t>
  </si>
  <si>
    <t>Cámaras fijas color de alta resolución (690 líneas de TV) , tipo domo</t>
  </si>
  <si>
    <t>A.4.1.C2</t>
  </si>
  <si>
    <t xml:space="preserve">Cámara color móvil, con movimientos pan/tilt y lente zoom de 20 X. </t>
  </si>
  <si>
    <t>A.4.1.C3</t>
  </si>
  <si>
    <t xml:space="preserve">Equipo grabador digital de video con entrada para 4 canales de video y audio; CON salidas para audio y video. Función looping.  Disco duro 1,5 TB . Control PTZ a través del mouse. </t>
  </si>
  <si>
    <t>A.4.1.C4</t>
  </si>
  <si>
    <t>Controlador de cámaras móviles pan/tilt y de lentes zoom, tipo Joystick</t>
  </si>
  <si>
    <t>A.4.1.C5</t>
  </si>
  <si>
    <t>Monitor de visualización, 19", color , LCD-LED.  Formato 4:3 (cuadrado)</t>
  </si>
  <si>
    <t>A.4.1.C6</t>
  </si>
  <si>
    <t>U.P.S. capacidad 2000 VA, para respaldo de cámaras. Monitores, grabador digital y todo el sisteam de audio</t>
  </si>
  <si>
    <t>A.4.1.C7</t>
  </si>
  <si>
    <t xml:space="preserve">Grabador externo de DVD, con entrada de video y audio. </t>
  </si>
  <si>
    <t>A.4.2.A1</t>
  </si>
  <si>
    <t>A.4.2.A2</t>
  </si>
  <si>
    <t>A.4.2.A3</t>
  </si>
  <si>
    <t>A.4.2.A4</t>
  </si>
  <si>
    <t>A.4.2.A5</t>
  </si>
  <si>
    <t>A.4.2.A6</t>
  </si>
  <si>
    <t>A.4.2.A7</t>
  </si>
  <si>
    <t>A.4.2.A8</t>
  </si>
  <si>
    <t>A.4.2.A9</t>
  </si>
  <si>
    <t>A.4.2.A10</t>
  </si>
  <si>
    <t>A.4.2.A11</t>
  </si>
  <si>
    <t>A.4.2.A12</t>
  </si>
  <si>
    <t>Asistencia técnica al integrador electrónico para la inclusión de los controladores de ascensor al BMS del Edificio</t>
  </si>
  <si>
    <t>A.4.2.A13</t>
  </si>
  <si>
    <t>Capacitación y adiestramiento en el uso; manuales de operación y mantenimiento del sistema</t>
  </si>
  <si>
    <t>A.4.2.B1</t>
  </si>
  <si>
    <t>Instalacion de ductos y cables para conexión de audio, desde grabador digital a equipos de sonido de la Sala de Juicio Oral.</t>
  </si>
  <si>
    <t>A.4.2.B2</t>
  </si>
  <si>
    <t>Instalacion de ductos y cables para conexión de audio, desde grabador digital a equipos de sonido de la Sala de Conferencias.</t>
  </si>
  <si>
    <t>A.4.2.B3</t>
  </si>
  <si>
    <t>Cables CAT6, cajas, ductos, conectores y otros materiales menores para la operatividad del sistema. En el Subsuelo 2</t>
  </si>
  <si>
    <t>A.4.2.B4</t>
  </si>
  <si>
    <t>Cables CAT6, cajas, ductos, conectores y otros materiales menores para la operatividad del sistema. En el Subsuelo 1</t>
  </si>
  <si>
    <t>A.4.2.B5</t>
  </si>
  <si>
    <t>Cables CAT6, cajas, ductos, conectores y otros materiales menores para la operatividad del sistema. En Planta Baja</t>
  </si>
  <si>
    <t>A.4.2.B6</t>
  </si>
  <si>
    <t>Cables CAT6, cajas, ductos, conectores y otros materiales menores para la operatividad del sistema. En el Primer Piso</t>
  </si>
  <si>
    <t>A.4.2.B7</t>
  </si>
  <si>
    <t>Cables CAT6, cajas, ductos, conectores y otros materiales menores para la operatividad del sistema. En el Segundo Piso</t>
  </si>
  <si>
    <t>A.4.2.B8</t>
  </si>
  <si>
    <t>Cables CAT6, cajas, ductos, conectores y otros materiales menores para la operatividad del sistema. En el Tercer Piso</t>
  </si>
  <si>
    <t>A.4.2.B9</t>
  </si>
  <si>
    <t>Cables CAT6, cajas, ductos, conectores y otros materiales menores para la operatividad del sistema. En el Cuarto Piso</t>
  </si>
  <si>
    <t>A.4.2.B10</t>
  </si>
  <si>
    <t>Cables CAT6, cajas, ductos, conectores y otros materiales menores para la operatividad del sistema. En el Quinto Piso</t>
  </si>
  <si>
    <t>A.4.2.B11</t>
  </si>
  <si>
    <t>Cables CAT6, cajas, ductos, conectores y otros materiales menores para la operatividad del sistema. En el Sexto Piso</t>
  </si>
  <si>
    <t>A.4.2.B12</t>
  </si>
  <si>
    <t>Cables CAT6, cajas, ductos, conectores y otros materiales menores para la operatividad del sistema. En la Azotea</t>
  </si>
  <si>
    <t>A.4.2.B13</t>
  </si>
  <si>
    <t>A.4.2.B14</t>
  </si>
  <si>
    <t>A.4.2.B15</t>
  </si>
  <si>
    <t>Capacitacion y adiestramiento del uso; manuales de operación y mantenimiento</t>
  </si>
  <si>
    <t>A.4.2.C1</t>
  </si>
  <si>
    <t xml:space="preserve">Materiales de instalación: ductos, cables, conectores, fuentes de energía, accesorios. </t>
  </si>
  <si>
    <t>A.4.2.C2</t>
  </si>
  <si>
    <t xml:space="preserve">Mano de Obra: ducteado, cableado, conexiones, instalación de equipos, programación, puesta en marcha, capacitación. </t>
  </si>
  <si>
    <t>A.4.2.C3</t>
  </si>
  <si>
    <t>A.4.2.C4</t>
  </si>
  <si>
    <t>Capacitación y adiestramiento; manuales de operación y mantenimiento</t>
  </si>
  <si>
    <t>Sub Total A.4 - Sistema de Seguridad Electronica</t>
  </si>
  <si>
    <t>A.5 PLANILLA DE CÓMPUTO MÉTRICO Y PRESUPUESTO - COMUNICACIÓN ORAL</t>
  </si>
  <si>
    <t>A - COMUNICACIÓN ORAL Y MÚSICA FUNCIONAL</t>
  </si>
  <si>
    <t>A.5.1.A1</t>
  </si>
  <si>
    <t>IE4</t>
  </si>
  <si>
    <t>Equipo amplificador de audio, tipo profesional capacidad de salida de 500W. Formato para montaje en Rack.</t>
  </si>
  <si>
    <t>A.5.1.A2</t>
  </si>
  <si>
    <t>Equipo de audio para conexión a red de datos, funciones de sintonizador de Radio FM y AM, Reproductor de musicas en formato MP3 desde el servidor del sistema de integracion electronica, funcion de entrada de microfono para comunicaciones orales desde la sala de control, software para instalaciones en PC de la integracion electronica</t>
  </si>
  <si>
    <t>A.5.1.A3</t>
  </si>
  <si>
    <t>Parlantes para interiores de 8"; de 8 ohm de impedancia; embutidos en cielorraso; color blanco</t>
  </si>
  <si>
    <t>A.5.1.A4</t>
  </si>
  <si>
    <t>Parlantes para interiores de 8"; de 8 ohm de impedancia; adosados al muro o al cielorraso; color blanco</t>
  </si>
  <si>
    <t>A.5.1.A5</t>
  </si>
  <si>
    <t>Microfono profesional con pedestal de mesa para Sala de Control</t>
  </si>
  <si>
    <t>A.5.1.A6</t>
  </si>
  <si>
    <t>Intercomunicadores; una terminal de embutir en muro (carcasa de protección para la intemperie) y otra handset con luz LED indicadora de llamada. Sala de Reconocimiento y Sala de control.</t>
  </si>
  <si>
    <t>A.5.1.A7</t>
  </si>
  <si>
    <t>Reóstato para control de volumen, en muros</t>
  </si>
  <si>
    <t>B - SONORIZACIÓN DE LA SALA DE JUICIOS ORALES</t>
  </si>
  <si>
    <t>A.5.1.B1</t>
  </si>
  <si>
    <t>Equipo amplificador de audio, tipo profesional capacidad de 120W salas de Juicios Orales.</t>
  </si>
  <si>
    <t>A.5.1.B2</t>
  </si>
  <si>
    <t>Equipo mezclador de audio, tipo profesional 8 canales de entrada y salida. Salas de Juicios Orales</t>
  </si>
  <si>
    <t>A.5.1.B3</t>
  </si>
  <si>
    <t>Parlantes de 8", de 16 ohm de impedancia; con soporte aplicado a muros</t>
  </si>
  <si>
    <t>A.5.1.B4</t>
  </si>
  <si>
    <t>Micrófono profesional inalámbrico.</t>
  </si>
  <si>
    <t>A.5.1.B5</t>
  </si>
  <si>
    <t>Micrófono profesional; cápsula condensadora; con pedestal de mesa y cuello flexible</t>
  </si>
  <si>
    <t>A.5.1.B6</t>
  </si>
  <si>
    <t>Pedestal metálico alto para micrófono; regulable, tipo profesional</t>
  </si>
  <si>
    <t>C - AUDIO, TRADUCCION Y PROYECCION EN SALON AUDITORIO</t>
  </si>
  <si>
    <t>A.5.1.C1</t>
  </si>
  <si>
    <t>Equipo Mezclador digital 24 Chs. live sound, ubicado en la sala de Tecnica</t>
  </si>
  <si>
    <t>A.5.1.C2</t>
  </si>
  <si>
    <t>Equipo Stagebox 24 canales digital, ubicado en el escenario.</t>
  </si>
  <si>
    <t>A.5.1.C3</t>
  </si>
  <si>
    <t>Parlante de 2-vias Line Array tipo columna autoamplificado - 6x4” LF + 4x1” HF B&amp;C - 400Wrms+100Wrms para sonido principal.</t>
  </si>
  <si>
    <t>A.5.1.C4</t>
  </si>
  <si>
    <t>Sub-woofer autoamplificado 2 x 8” 600w rms 50-200Hz</t>
  </si>
  <si>
    <t>A.5.1.C5</t>
  </si>
  <si>
    <t>Altavoz de 2 vias 600+200 watts rms, autoamplificado 12” + 1” para monitor de piso escenario.</t>
  </si>
  <si>
    <t>A.5.1.C6</t>
  </si>
  <si>
    <t>A.5.1.C7</t>
  </si>
  <si>
    <t>A.5.1.C8</t>
  </si>
  <si>
    <t>Transmisor infrarrojo de 8 canales</t>
  </si>
  <si>
    <t>A.5.1.C9</t>
  </si>
  <si>
    <t xml:space="preserve">Modulo de interconexion entre transmisor infrarrojo y modulos de pupitre interpretes. </t>
  </si>
  <si>
    <t>A.5.1.C10</t>
  </si>
  <si>
    <t>Modulo de pupitre para interpretes, incluye microfono y auriculares con almohadillas de auriculares lavables.</t>
  </si>
  <si>
    <t>A.5.1.C11</t>
  </si>
  <si>
    <t>Receptor infrarrojo con auricular estereo para publico. Con baterias recargables integradas. Almohadillas de auriculares lavables.</t>
  </si>
  <si>
    <t>A.5.1.C12</t>
  </si>
  <si>
    <t>Radiador infrarrojo, incluye soportes de la misma marca.</t>
  </si>
  <si>
    <t>A.5.1.C13</t>
  </si>
  <si>
    <t xml:space="preserve">Equipo para carga de bateria de receptores capacidad de 50 o mas equipos en simultaneo. Alimentacion 100 - 240 VCA, 50/60 Hz. </t>
  </si>
  <si>
    <t>A.5.1.C14</t>
  </si>
  <si>
    <t>Pantalla para proyecciones, ancho de 6.00m. Sistema de bajada y subida electrica comado a distancia, desde la sala de comandos.</t>
  </si>
  <si>
    <t>A.5.1.C15</t>
  </si>
  <si>
    <t>Proyector. Luminosidad en color y blanco y negro 6500 lumenes, Resolucion WXGA (1280x800), Vida util lampara 3000 horas, Relacion de aspecto nativo 16:10. Conector HDMI y wireles. Incluye cable HDMI hasta mueble. Incluye soporte de la misma marca para montaje en cielorraso.</t>
  </si>
  <si>
    <t>D - SONORIZACIÓN  Y GRABACION EN CAMARA GESSEL - AUDIO</t>
  </si>
  <si>
    <t>A.5.1.D1</t>
  </si>
  <si>
    <t>Mezclador de audio con capacidad minima de 6 canales</t>
  </si>
  <si>
    <t>A.5.1.D2</t>
  </si>
  <si>
    <t xml:space="preserve">Amplificador de audio, potencia 60 Watts </t>
  </si>
  <si>
    <t>A.5.1.D3</t>
  </si>
  <si>
    <t xml:space="preserve">Micrófonos  de ambiente. Embutidos en la parte superior del tabique de yeso. </t>
  </si>
  <si>
    <t>A.5.1.D4</t>
  </si>
  <si>
    <t>Micrófono profesional inalámbrico para consultas</t>
  </si>
  <si>
    <t>A.5.1.D5</t>
  </si>
  <si>
    <t>Transmisor inalambrico con microfono solapero y audifono discreto, con control de volumen en transmisor.</t>
  </si>
  <si>
    <t>A.5.1.D6</t>
  </si>
  <si>
    <t xml:space="preserve">Parlantes de pared, de potencia 60 Watts </t>
  </si>
  <si>
    <t>A.5.2.A1</t>
  </si>
  <si>
    <t>A.5.2.A2</t>
  </si>
  <si>
    <t>A.5.2.A3</t>
  </si>
  <si>
    <t>A.5.2.A4</t>
  </si>
  <si>
    <t>A.5.2.A5</t>
  </si>
  <si>
    <t>A.5.2.A6</t>
  </si>
  <si>
    <t>A.5.2.A7</t>
  </si>
  <si>
    <t>A.5.2.A8</t>
  </si>
  <si>
    <t>A.5.2.A9</t>
  </si>
  <si>
    <t>A.5.2.A10</t>
  </si>
  <si>
    <t>A.5.2.A11</t>
  </si>
  <si>
    <t>A.5.2.A12</t>
  </si>
  <si>
    <t>A.5.2.B1</t>
  </si>
  <si>
    <t>Instalación de red de ductos, cables y conexiones; puesta en marcha del sistema en las Salas de Juicios Orales</t>
  </si>
  <si>
    <t>A.5.2.B2</t>
  </si>
  <si>
    <t>Interconexion entre de equipo amplificador de audio de las salas de Juicios Orales al sistema grabacion digital del circuito cerrado de Video en la sala de control.</t>
  </si>
  <si>
    <t>A.5.2.B3</t>
  </si>
  <si>
    <t>Tomas para microfonos</t>
  </si>
  <si>
    <t>A.5.2.B4</t>
  </si>
  <si>
    <t>A.5.2.C1</t>
  </si>
  <si>
    <t>Cables, cajas, ductos, conectores y otros materiales menores para la operatividad del sistema en Salon Auditorio.</t>
  </si>
  <si>
    <t>A.5.2.C2</t>
  </si>
  <si>
    <t>Interconexion entre de equipo amplificador de audio del Salon Auditorio al sistema grabacion digital del circuito cerrado de Video en la sala de control.</t>
  </si>
  <si>
    <t>A.5.2.C3</t>
  </si>
  <si>
    <t>A.5.2.C4</t>
  </si>
  <si>
    <t>A.5.2.C5</t>
  </si>
  <si>
    <t>A.5.2.D1</t>
  </si>
  <si>
    <t>A.5.2.D2</t>
  </si>
  <si>
    <t>A.5.2.D3</t>
  </si>
  <si>
    <t>Sub Total A.5 - COMUNICACIÓN ORAL Y MUSICA FUNCIONAL</t>
  </si>
  <si>
    <t>A.6 PLANILLA DE CÓMPUTO MÉTRICO Y PRESUPUESTO - RED DE TELEFONÍA</t>
  </si>
  <si>
    <t>A.6.1.1</t>
  </si>
  <si>
    <t>IE5</t>
  </si>
  <si>
    <t>Central Telefónica PBX digital modulable (sin bloqueo), con sistema de tarjetas, compatible IP, correo de voz, que incluye 1 gabinete principal y secundarios de capacidad ampliable; 1 Software de funciones correspondientes; 36 líneas externas troncales; 2 Puertos E1 ISDR PRI. 400 líneas internas (20%digital, 80% analogica); tres (3) puertos SD, RS-232, para conexión de computadora impresora y modens</t>
  </si>
  <si>
    <t>A.6.1.2</t>
  </si>
  <si>
    <t>Banco de baterías</t>
  </si>
  <si>
    <t>A.6.1.3</t>
  </si>
  <si>
    <t>Computadora personal, procesador de cuatro nucleos ultima generacion y software original para operación y diagnóstico del sistema; monitor color LCD-LED de 21", formato 16:9; gabinete horizontal; sistema operativo Windows 10 o superior.</t>
  </si>
  <si>
    <t>A.6.1.4</t>
  </si>
  <si>
    <t>Impresora laser tinta negra tipo HP</t>
  </si>
  <si>
    <t>A.6.1.5</t>
  </si>
  <si>
    <t>Fuente ininterrumpida de energía (UPS) para PC, de 2.000VA</t>
  </si>
  <si>
    <t>A.6.1.6</t>
  </si>
  <si>
    <t>Provisión y montaje de Consola de Operadora y accesorios.  Auricular con micrófono. Pantalla de 4 líneas y 40 caracteres. 60 Teclas de identificación de llamadas en espera. Diez (10) teclas programables con 20 funciones adicionales para manejo de llamadas, búsqueda de personas, repetición, etc.</t>
  </si>
  <si>
    <t>A.6.1.7</t>
  </si>
  <si>
    <t>Modems de acceso. Enlace para troncales E1 Fibra optica Monomodo. Ver Especificaciones Tecnicas.</t>
  </si>
  <si>
    <t>A.6.1.8</t>
  </si>
  <si>
    <t>Provisión y montaje de Aparatos Telefónicos Digitales. Con pantalla de cristal líquido, full manos libres, tecla indicadora de mensaje en espera, y minimo 10 teclas  programables con indicador visual de mínimo 10 internos ocupados libre/ocupado.</t>
  </si>
  <si>
    <t>A.6.1.9</t>
  </si>
  <si>
    <t>Provisión y Montaje de Aparatos Telefónicos Analógicos.  Pantalla de cristal líquido. Con luz de mensaje en espera y teclas auxiliares flash, redial y retención, 10 teclas de discado directo.</t>
  </si>
  <si>
    <t>A.6.1.10</t>
  </si>
  <si>
    <t>Provisión y Montaje de Intercomunicadores de calle. Boton pulsador de llamada, microfono y parlante</t>
  </si>
  <si>
    <t>A.6.1.11</t>
  </si>
  <si>
    <t>Pedestal metálico para intercomunicador en caño de hierro galvanizado esmaltado de 3"</t>
  </si>
  <si>
    <t>A.6.1.12</t>
  </si>
  <si>
    <t>Equipos y Licencias necesarias para la interconexion entre la nueva central telefonica y la central de asuncion. Conexión via VPN del poder judicial</t>
  </si>
  <si>
    <t>A.6.2.1</t>
  </si>
  <si>
    <t>Conductor de 20 pares telefónicos de gabinete tecnico subsuelo 2 a sala de control</t>
  </si>
  <si>
    <t>A.6.2.2</t>
  </si>
  <si>
    <t>Conductor de 100 pares telefónicos de gabinete tecnico subsuelo 1 a sala de control</t>
  </si>
  <si>
    <t>A.6.2.3</t>
  </si>
  <si>
    <t>Conductor de 30 pares telefónicos de gabinete tecnico subsuelo 1 bloque E a sala de control</t>
  </si>
  <si>
    <t>A.6.2.4</t>
  </si>
  <si>
    <t>Conductor de 100 pares telefónicos de gabinete tecnico Planta Baja a sala de control</t>
  </si>
  <si>
    <t>A.6.2.5</t>
  </si>
  <si>
    <t>Conductor de 100 pares telefónicos de gabinete tecnico Primer Piso a sala de control</t>
  </si>
  <si>
    <t>A.6.2.6</t>
  </si>
  <si>
    <t>Conductor de 100 pares telefónicos de gabinete tecnico Segundo Piso a sala de control</t>
  </si>
  <si>
    <t>A.6.2.7</t>
  </si>
  <si>
    <t>Conductor de 100 pares telefónicos de gabinete tecnico Tercer Piso a sala de control</t>
  </si>
  <si>
    <t>A.6.2.8</t>
  </si>
  <si>
    <t>Conductor de 50 pares telefónicos de gabinete tecnico Cuarto Piso a sala de control</t>
  </si>
  <si>
    <t>A.6.2.9</t>
  </si>
  <si>
    <t>Conductor de 50 pares telefónicos de gabinete tecnico Quinto Piso a sala de control</t>
  </si>
  <si>
    <t>A.6.2.10</t>
  </si>
  <si>
    <t>Conductor de 4 hilos - 2 pares telefónicos (Subsuelo 2) de toma a tablero con regletas secundarias de distribucion en gabinetes tecnicos de señales debiles en bloque B.</t>
  </si>
  <si>
    <t>A.6.2.11</t>
  </si>
  <si>
    <t>Conductor de 4 hilos - 2 pares telefónicos (Subsuelo 1) de toma a tablero con regletas secundarias de distribucion en gabinetes tecnicos de señales debiles en bloques A, B, C, E y F.</t>
  </si>
  <si>
    <t>A.6.2.12</t>
  </si>
  <si>
    <t>Conductor de 4 hilos - 2 pares telefónicos (Planta Baja) de toma a tablero con regletas secundarias de distribucion en gabinetes tecnicos de señales debiles en bloques A, B, C y E.</t>
  </si>
  <si>
    <t>A.6.2.13</t>
  </si>
  <si>
    <t>Conductor de 4 hilos - 2 pares telefónicos (Primer Piso) de toma a tablero con regletas secundarias de distribucion en gabinetes tecnicos de señales debiles en bloques A, B y C.</t>
  </si>
  <si>
    <t>A.6.2.14</t>
  </si>
  <si>
    <t>Conductor de 4 hilos - 2 pares telefónicos (Segundo Piso) de toma a tablero con regletas secundarias de distribucion en gabinetes tecnicos de señales debiles en bloques A, B y C.</t>
  </si>
  <si>
    <t>A.6.2.15</t>
  </si>
  <si>
    <t>Conductor de 4 hilos - 2 pares telefónicos (Tercer Piso) de toma a tablero con regletas secundarias de distribucion en gabinetes tecnicos de señales debiles en bloques A, B y C.</t>
  </si>
  <si>
    <t>A.6.2.16</t>
  </si>
  <si>
    <t>Conductor de 4 hilos - 2 pares telefónicos (Cuarto Piso) de toma a tablero con regletas secundarias de distribucion en gabinetes tecnicos de señales debiles en bloques A, B y C.</t>
  </si>
  <si>
    <t>A.6.2.17</t>
  </si>
  <si>
    <t>Conductor de 4 hilos - 2 pares telefónicos (Quinto Piso) de toma a tablero con regletas secundarias de distribucion en gabinetes tecnicos de señales debiles en bloques A y B.</t>
  </si>
  <si>
    <t>A.6.2.18</t>
  </si>
  <si>
    <t>Conductor de 4 hilos - 2 pares telefónicos (Sexto Piso) de toma a tablero con regletas secundarias de distribucion en gabinetes tecnicos de señales debiles en bloques A y B.</t>
  </si>
  <si>
    <t>A.6.2.19</t>
  </si>
  <si>
    <t>Conductor de 4 hilos - 2 pares telefónicos (Azotea) de toma a tablero con regletas secundarias de distribucion en gabinetes tecnicos de señales debiles en bloque B sexto piso.</t>
  </si>
  <si>
    <t>A.6.2.20</t>
  </si>
  <si>
    <t>Provisión y montaje de Tablero General de Distribución: caja y puertas metálicas; fondo de madera; doble regletas tipo Krone; toma de tierra y accesorios</t>
  </si>
  <si>
    <t>A.6.2.21</t>
  </si>
  <si>
    <t>Provisión y montaje de Tablero Secundario de Distribución, por Piso: caja y puertas metálicas; regletas tipo Krone; toma de tierra y accesorios</t>
  </si>
  <si>
    <t>A.6.2.22</t>
  </si>
  <si>
    <t>Sistema de protección primaria</t>
  </si>
  <si>
    <t>A.6.2.23</t>
  </si>
  <si>
    <t>Sistema de protección secundaria</t>
  </si>
  <si>
    <t>A.6.2.24</t>
  </si>
  <si>
    <t>Provision y montaje de tomas telefónicas RJ-11 Subsuelo 2</t>
  </si>
  <si>
    <t>A.6.2.25</t>
  </si>
  <si>
    <t>Provision y montaje de tomas telefónicas RJ-11 Subsuelo 1</t>
  </si>
  <si>
    <t>A.6.2.26</t>
  </si>
  <si>
    <t>Provision y montaje de tomas telefónicas RJ-11 Planta Baja</t>
  </si>
  <si>
    <t>A.6.2.27</t>
  </si>
  <si>
    <t>Provision y montaje de tomas telefónicas RJ-11 1er. Piso</t>
  </si>
  <si>
    <t>A.6.2.28</t>
  </si>
  <si>
    <t>Provision y montaje de tomas telefónicas RJ-11 2do. Piso</t>
  </si>
  <si>
    <t>A.6.2.29</t>
  </si>
  <si>
    <t>Provision y montaje de tomas telefónicas RJ-11 3er. Piso</t>
  </si>
  <si>
    <t>A.6.2.30</t>
  </si>
  <si>
    <t>Provision y montaje de tomas telefónicas RJ-11 4to. Piso</t>
  </si>
  <si>
    <t>A.6.2.31</t>
  </si>
  <si>
    <t>Provision y montaje de tomas telefónicas RJ-11 5to. Piso</t>
  </si>
  <si>
    <t>A.6.2.32</t>
  </si>
  <si>
    <t>Provision y montaje de tomas telefónicas RJ-11 6to. Piso</t>
  </si>
  <si>
    <t>A.6.2.33</t>
  </si>
  <si>
    <t>Provision y montaje de tomas telefónicas RJ-11 7mo. Piso</t>
  </si>
  <si>
    <t>A.6.2.34</t>
  </si>
  <si>
    <t>Provision y montaje de tomas telefónicas RJ-11 Azotea</t>
  </si>
  <si>
    <t>A.6.2.35</t>
  </si>
  <si>
    <t>Accesorios de montaje y materiales menores</t>
  </si>
  <si>
    <t>A.6.2.36</t>
  </si>
  <si>
    <t>Montaje de la red de telefonía Subsuelo 2</t>
  </si>
  <si>
    <t>A.6.2.37</t>
  </si>
  <si>
    <t>Montaje de la red de telefonía Subsuelo 1</t>
  </si>
  <si>
    <t>A.6.2.38</t>
  </si>
  <si>
    <t>Montaje de la red de telefonía Planta Baja</t>
  </si>
  <si>
    <t>A.6.2.39</t>
  </si>
  <si>
    <t>Montaje de la red de telefonía 1er. Piso</t>
  </si>
  <si>
    <t>A.6.2.40</t>
  </si>
  <si>
    <t>Montaje de la red de telefonía 2do. Piso</t>
  </si>
  <si>
    <t>A.6.2.41</t>
  </si>
  <si>
    <t>Montaje de la red de telefonía 3er. Piso</t>
  </si>
  <si>
    <t>A.6.2.42</t>
  </si>
  <si>
    <t>Montaje de la red de telefonía 4to. Piso</t>
  </si>
  <si>
    <t>A.6.2.43</t>
  </si>
  <si>
    <t>Montaje de la red de telefonía 5to. Piso</t>
  </si>
  <si>
    <t>A.6.2.44</t>
  </si>
  <si>
    <t>Montaje de la red de telefonía 6to. Piso</t>
  </si>
  <si>
    <t>A.6.2.45</t>
  </si>
  <si>
    <t>Montaje de la red de telefonía 7mo. Piso</t>
  </si>
  <si>
    <t>A.6.2.46</t>
  </si>
  <si>
    <t>Montaje de la red de telefonía Azotea</t>
  </si>
  <si>
    <t>A.6.2.47</t>
  </si>
  <si>
    <t>Conexión de troncales</t>
  </si>
  <si>
    <t>A.6.2.48</t>
  </si>
  <si>
    <t>Sistemas de Acceso. Instalacion y puesta en marcha de modems de intercoxion para troncales E1. Ver Especificaciones Tecnicas.</t>
  </si>
  <si>
    <t>A.6.2.49</t>
  </si>
  <si>
    <t>Programación general y puesta en funcionamiento del sistema</t>
  </si>
  <si>
    <t>A.6.2.50</t>
  </si>
  <si>
    <t>Verificación del sistema de puesta a tierra: mediciones y estudios</t>
  </si>
  <si>
    <t>A.6.2.51</t>
  </si>
  <si>
    <t>Sub Total A.6 - RED DE TELEFONIA</t>
  </si>
  <si>
    <t>A.7 PLANILLA DE CÓMPUTO MÉTRICO Y PRESUPUESTO - RED DE DATOS</t>
  </si>
  <si>
    <t>A.7.1.1</t>
  </si>
  <si>
    <t>IE6</t>
  </si>
  <si>
    <t>Switch Core o backbone con 24 puertos SFPs opticos 1000 BaseLX.</t>
  </si>
  <si>
    <t>A.7.1.2</t>
  </si>
  <si>
    <t>Switch de 48 puertos, con tarjeta de Stack de 10/100/1000 y conexión con fibra óptica minimo 2</t>
  </si>
  <si>
    <t>A.7.1.3</t>
  </si>
  <si>
    <t>Switch de 24 puertos, con tarjeta de Stack de 10/100/1000 y conexión con fibra óptica minimo 2</t>
  </si>
  <si>
    <t>A.7.1.4</t>
  </si>
  <si>
    <t>Equipo de seguridad VPN con funciones de Firewall y Router</t>
  </si>
  <si>
    <t>A.7.1.5</t>
  </si>
  <si>
    <t>Equipo de Acceso Inalambrico - Access Point</t>
  </si>
  <si>
    <t>A.7.1.6</t>
  </si>
  <si>
    <t>IE7</t>
  </si>
  <si>
    <t>Fuente ininterrumpida de energía (UPS) de 2.200VA para switch en pisos</t>
  </si>
  <si>
    <t>A.7.2.1</t>
  </si>
  <si>
    <t>Provision y montaje de Racks para equipos, servidores y concentradores. Altura de 42U, profundidad 800mm., ancho 600mm., Deberá poseer  una capacidad de carga estática de por lo menos 1000 Kg. con puertas frontales y traseras micro perforadas, en un porcentaje mínimo de 60%. Con barra de puesta a tierra y regleta de alimentacion electrica.</t>
  </si>
  <si>
    <t>A.7.2.2</t>
  </si>
  <si>
    <t>Rack abierto con dos parantes de 42U para gabinetes tecnicos en pisos</t>
  </si>
  <si>
    <t>A.7.2.3</t>
  </si>
  <si>
    <t>Patch Panel - 24 puertos - Cat. 6a</t>
  </si>
  <si>
    <t>A.7.2.4</t>
  </si>
  <si>
    <t>Cable UTP - Cat. 6a</t>
  </si>
  <si>
    <t>A.7.2.5</t>
  </si>
  <si>
    <t>Interconexion con fibra optica tipo monomodo redundante entre switches de piso y el core en data center</t>
  </si>
  <si>
    <t>A.7.2.6</t>
  </si>
  <si>
    <t>DIO (distribuidor interno optico) de fibra en terminaciones. Ubicacios en la parte superior del Rack.</t>
  </si>
  <si>
    <t>A.7.2.7</t>
  </si>
  <si>
    <t>Patch cord de fibra optica</t>
  </si>
  <si>
    <t>A.7.2.8</t>
  </si>
  <si>
    <t>Tomas con insertos RJ45 Cat. 6a</t>
  </si>
  <si>
    <t>A.7.2.9</t>
  </si>
  <si>
    <t>Cajas exteriores para tomas con insertos RJ45, en mueble de Sala de Control Cat. 6a</t>
  </si>
  <si>
    <t>A.7.2.10</t>
  </si>
  <si>
    <t>Patch cords - Cat. 6a</t>
  </si>
  <si>
    <t>A.7.2.11</t>
  </si>
  <si>
    <t>Line cords - Cat. 6a</t>
  </si>
  <si>
    <t>A.7.2.12</t>
  </si>
  <si>
    <t>Materiales de sujeción</t>
  </si>
  <si>
    <t>A.7.2.13</t>
  </si>
  <si>
    <t>Materiales menores y accesorios</t>
  </si>
  <si>
    <t>A.7.2.14</t>
  </si>
  <si>
    <t>Mano de Obra de la instalación</t>
  </si>
  <si>
    <t>Sub Total A.7 - RED DE DATOS</t>
  </si>
  <si>
    <t>A.8 PLANILLA DE CÓMPUTO MÉTRICO Y PRESUPUESTO - ASCENSORES</t>
  </si>
  <si>
    <t>A - Ascensor para Funcionarios</t>
  </si>
  <si>
    <t>A.8.1.A1</t>
  </si>
  <si>
    <t>Provisión de ascensor sin sala de maquinas para 800Kg / 10 personas, velocidad 60m/minuto, 8 paradas, 8 niveles (4m. por nivel). Componentes: motor; módulo de control; cabina; guías; cabos; contrapesos; puertas; marcos y umbrales; software de monitoreo; accesorios</t>
  </si>
  <si>
    <t>A.8.1.A2</t>
  </si>
  <si>
    <t>Intercomunicador, entre cabina y sala de control</t>
  </si>
  <si>
    <t>A.8.1.A3</t>
  </si>
  <si>
    <t>Sistema de proteccion electrica, supresor de sobretensiones transitorias y de armonicos para cerebro electronico, Tipo SineTamer.</t>
  </si>
  <si>
    <t>A.8.1.A4</t>
  </si>
  <si>
    <t>Kit de repuestos</t>
  </si>
  <si>
    <t>B - Ascensor para Publico</t>
  </si>
  <si>
    <t>A.8.2.B1</t>
  </si>
  <si>
    <t>Provisión de ascensor sin sala de maquinas para 800Kg / 10 personas, velocidad 60m/minuto, 7 paradas, 8 niveles (4m. por nivel). Componentes: motor; módulo de control; cabina; guías; cabos; contrapesos; puertas; marcos y umbrales; software de monitoreo; accesorios</t>
  </si>
  <si>
    <t>A.8.2.B2</t>
  </si>
  <si>
    <t>A.8.2.B3</t>
  </si>
  <si>
    <t>A.8.2.B4</t>
  </si>
  <si>
    <t>C - Ascensor para Imputados</t>
  </si>
  <si>
    <t>A.8.2.C1</t>
  </si>
  <si>
    <t xml:space="preserve">Provisión de  ascensor sin sala de maquinas para 600Kg / 8 personas, velocidad 60m/minuto, 5 paradas, 6 niveles (4m. por nivel). Componentes: motor; módulo de control; cabina; guías; cabos; contrapesos; puertas; marcos y umbrales; software de monitoreo; accesorios. </t>
  </si>
  <si>
    <t>A.8.2.C2</t>
  </si>
  <si>
    <t>A.8.2.C3</t>
  </si>
  <si>
    <t>A.8.2.C4</t>
  </si>
  <si>
    <t>D - Ascensor para uso interno auditorio, cafeteria - BLOQUE E</t>
  </si>
  <si>
    <t>A.8.2.D1</t>
  </si>
  <si>
    <t>Provisión de  ascensor sin sala de maquinas para 800Kg / 10 personas, velocidad 60m/minuto, 2 paradas, 2 niveles (4m. por nivel). Componentes: motor; módulo de control; cabina; guías; cabos; contrapesos; puertas; marcos y umbrales; software de monitoreo; accesorios</t>
  </si>
  <si>
    <t>A.8.2.D2</t>
  </si>
  <si>
    <t>A.8.2.D3</t>
  </si>
  <si>
    <t>A.8.2.D4</t>
  </si>
  <si>
    <t>A.8.2.A1</t>
  </si>
  <si>
    <t>Trabajos de adecuación de las estructuras (elementos metálicos adicionales a la caja; perforaciones en losas; ganchos)</t>
  </si>
  <si>
    <t>A.8.2.A2</t>
  </si>
  <si>
    <t>Adecuación de instalación eléctrica. Incluye provisión y montaje de canaletas de chapa, tableros, interruptores eléctricos y conductores en piso, desde el alimentador existente en dicho local para los ascensores de funcionarios. Iluminacion interna y tomas electricas.</t>
  </si>
  <si>
    <t>A.8.2.A3</t>
  </si>
  <si>
    <t>Montaje e instalacion de equipos y accesorios por piso y por ascensor.</t>
  </si>
  <si>
    <t>A.8.2.A4</t>
  </si>
  <si>
    <t>Montaje de guías, cabina y accesorios.</t>
  </si>
  <si>
    <t>A.8.2.A5</t>
  </si>
  <si>
    <t>Montaje de accesorios en pisos, soportes y puertas de piso.</t>
  </si>
  <si>
    <t>A.8.2.A6</t>
  </si>
  <si>
    <t>Puesta en marcha de los ascensores</t>
  </si>
  <si>
    <t>A.8.2.B5</t>
  </si>
  <si>
    <t>A.8.2.B6</t>
  </si>
  <si>
    <t>A.8.2.C5</t>
  </si>
  <si>
    <t>A.8.2.C6</t>
  </si>
  <si>
    <t>A.8.2.D5</t>
  </si>
  <si>
    <t>A.8.2.D6</t>
  </si>
  <si>
    <t>E -Sala de Control y Otros</t>
  </si>
  <si>
    <t>A.8.2.E1</t>
  </si>
  <si>
    <t>Instalación de software de monitoreo en computadora</t>
  </si>
  <si>
    <t>A.8.2.E2</t>
  </si>
  <si>
    <t>Instalación de intercomunicadores</t>
  </si>
  <si>
    <t>A.8.2.E3</t>
  </si>
  <si>
    <t>Interconexión de cámaras de vídeo, cableado estructurado en cable movil para conexión de camara de la cabina.</t>
  </si>
  <si>
    <t>A.8.2.E4</t>
  </si>
  <si>
    <t>A.8.2.E5</t>
  </si>
  <si>
    <t>Sub Total A.8 - ASCENSORES</t>
  </si>
  <si>
    <t>A.9 PLANILLA DE CÓMPUTO MÉTRICO Y PRESUPUESTO - GENERADOR</t>
  </si>
  <si>
    <t>A.9.1.1</t>
  </si>
  <si>
    <t>IE8</t>
  </si>
  <si>
    <t>Equipo generador eléctrico para emergencia. Motor diesel de inyección directa. Generador síncrono trifásico. Potencia: 750 KVA en Standby. Tensión: 380V / 220 V. Frecuencia: 50Hz. 3 Fases y Neutro (conexión estrella). Módulo de control, monitoreo y protección. Conjunto integrado incluyendo tanque de combustible sobre chasis de apoyo antivibratorio. Sistema de Insonorizacion de fabrica</t>
  </si>
  <si>
    <t>A.9.1.2</t>
  </si>
  <si>
    <t>Provisión de un gateway a algún protocolo de comunicación abierto, KNX serial o IP, BACnet IP o Modbus TCP/IP, para integrar el módulo de control al BMS</t>
  </si>
  <si>
    <t>A.9.1.3</t>
  </si>
  <si>
    <t>Placa de control y monitoreo de funcionamiento del generador desde el gabitete tecnico de la Sala de Control</t>
  </si>
  <si>
    <t>A.9.1.4</t>
  </si>
  <si>
    <t>Cargador de batería permanente conectado a red de 220V</t>
  </si>
  <si>
    <t>A.9.1.5</t>
  </si>
  <si>
    <t>A.9.1.6</t>
  </si>
  <si>
    <t>Tablero de transferencia automática de 1000A</t>
  </si>
  <si>
    <t>A.9.2.1</t>
  </si>
  <si>
    <t>Tubería de escape de humos</t>
  </si>
  <si>
    <t>A.9.2.2</t>
  </si>
  <si>
    <t>Interconexiones eléctricas</t>
  </si>
  <si>
    <t>A.9.2.3</t>
  </si>
  <si>
    <t>A.9.2.4</t>
  </si>
  <si>
    <t>Montaje e instalación del grupo generador</t>
  </si>
  <si>
    <t>A.9.2.5</t>
  </si>
  <si>
    <t>A.9.2.6</t>
  </si>
  <si>
    <t>Sub Total A.9 - GENERADOR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</si>
</sst>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_ ;\-#,##0.00\ "/>
    <numFmt numFmtId="166" formatCode="_-* #,##0_-;\-* #,##0_-;_-* &quot;-&quot;??_-;_-@_-"/>
  </numFmts>
  <fonts count="27">
    <font>
      <sz val="10"/>
      <name val="Arial"/>
    </font>
    <font>
      <sz val="10"/>
      <name val="Arial"/>
      <family val="2"/>
    </font>
    <font>
      <b/>
      <sz val="10"/>
      <name val="Arial"/>
      <family val="2"/>
    </font>
    <font>
      <sz val="10"/>
      <name val="Arial"/>
      <family val="2"/>
    </font>
    <font>
      <b/>
      <sz val="9"/>
      <name val="Arial"/>
      <family val="2"/>
    </font>
    <font>
      <b/>
      <sz val="16"/>
      <name val="Arial"/>
      <family val="2"/>
    </font>
    <font>
      <b/>
      <sz val="12"/>
      <name val="Arial"/>
      <family val="2"/>
    </font>
    <font>
      <sz val="8"/>
      <name val="Arial"/>
      <family val="2"/>
    </font>
    <font>
      <b/>
      <sz val="11"/>
      <name val="Arial"/>
      <family val="2"/>
    </font>
    <font>
      <b/>
      <sz val="14"/>
      <name val="Arial"/>
      <family val="2"/>
    </font>
    <font>
      <b/>
      <sz val="8"/>
      <name val="Arial"/>
      <family val="2"/>
    </font>
    <font>
      <sz val="10"/>
      <color theme="1"/>
      <name val="Arial"/>
      <family val="2"/>
    </font>
    <font>
      <sz val="11"/>
      <color theme="1"/>
      <name val="Arial"/>
      <family val="2"/>
    </font>
    <font>
      <b/>
      <sz val="10"/>
      <color theme="1"/>
      <name val="Arial"/>
      <family val="2"/>
    </font>
    <font>
      <sz val="12"/>
      <name val="Arial"/>
      <family val="2"/>
    </font>
    <font>
      <sz val="10"/>
      <color indexed="8"/>
      <name val="Arial"/>
      <family val="2"/>
    </font>
    <font>
      <sz val="11"/>
      <name val="Arial"/>
      <family val="2"/>
    </font>
    <font>
      <sz val="10"/>
      <color rgb="FFFF0000"/>
      <name val="Arial"/>
      <family val="2"/>
    </font>
    <font>
      <sz val="10"/>
      <color indexed="60"/>
      <name val="Arial"/>
      <family val="2"/>
    </font>
    <font>
      <sz val="10"/>
      <color theme="1" tint="4.9989318521683403E-2"/>
      <name val="Arial"/>
      <family val="2"/>
    </font>
    <font>
      <b/>
      <sz val="10"/>
      <color theme="1" tint="4.9989318521683403E-2"/>
      <name val="Arial"/>
      <family val="2"/>
    </font>
    <font>
      <sz val="10"/>
      <color rgb="FFC00000"/>
      <name val="Arial"/>
      <family val="2"/>
    </font>
    <font>
      <b/>
      <sz val="10"/>
      <color rgb="FFC00000"/>
      <name val="Arial"/>
      <family val="2"/>
    </font>
    <font>
      <b/>
      <sz val="11"/>
      <color rgb="FFFF0000"/>
      <name val="Arial"/>
      <family val="2"/>
    </font>
    <font>
      <b/>
      <sz val="10"/>
      <color rgb="FFFF0000"/>
      <name val="Arial"/>
      <family val="2"/>
    </font>
    <font>
      <sz val="9"/>
      <name val="Arial"/>
      <family val="2"/>
    </font>
    <font>
      <b/>
      <sz val="10"/>
      <color indexed="8"/>
      <name val="Arial"/>
      <family val="2"/>
    </font>
  </fonts>
  <fills count="10">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99"/>
        <bgColor rgb="FF000000"/>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3" fillId="0" borderId="0"/>
    <xf numFmtId="0" fontId="1" fillId="0" borderId="0"/>
  </cellStyleXfs>
  <cellXfs count="668">
    <xf numFmtId="0" fontId="0" fillId="0" borderId="0" xfId="0"/>
    <xf numFmtId="0" fontId="0" fillId="0" borderId="0" xfId="0" applyAlignment="1"/>
    <xf numFmtId="0" fontId="2" fillId="0" borderId="1" xfId="0" applyFont="1" applyBorder="1"/>
    <xf numFmtId="0" fontId="4" fillId="0" borderId="0" xfId="0" applyFont="1" applyAlignment="1">
      <alignment horizontal="centerContinuous" vertical="center" wrapText="1"/>
    </xf>
    <xf numFmtId="0" fontId="3" fillId="0" borderId="0" xfId="0" applyFont="1" applyBorder="1"/>
    <xf numFmtId="0" fontId="2" fillId="0" borderId="0" xfId="0" applyFont="1" applyBorder="1"/>
    <xf numFmtId="0" fontId="8" fillId="0" borderId="4" xfId="0" applyFont="1" applyBorder="1" applyAlignment="1">
      <alignment horizontal="centerContinuous"/>
    </xf>
    <xf numFmtId="0" fontId="8" fillId="0" borderId="1" xfId="0" applyFont="1" applyBorder="1" applyAlignment="1">
      <alignment horizontal="centerContinuous"/>
    </xf>
    <xf numFmtId="0" fontId="8" fillId="0" borderId="5" xfId="0" applyFont="1" applyFill="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9" fillId="0" borderId="9" xfId="0" applyFont="1" applyBorder="1" applyAlignment="1">
      <alignment vertical="top"/>
    </xf>
    <xf numFmtId="0" fontId="6" fillId="0" borderId="10" xfId="0" applyFont="1" applyBorder="1" applyAlignment="1">
      <alignment vertical="top"/>
    </xf>
    <xf numFmtId="0" fontId="6" fillId="0" borderId="11" xfId="0" applyFont="1" applyBorder="1"/>
    <xf numFmtId="0" fontId="6" fillId="0" borderId="12" xfId="0" applyFont="1" applyBorder="1" applyAlignment="1">
      <alignment horizontal="center"/>
    </xf>
    <xf numFmtId="0" fontId="6" fillId="0" borderId="13" xfId="0" applyFont="1" applyBorder="1" applyAlignment="1">
      <alignment vertical="top"/>
    </xf>
    <xf numFmtId="0" fontId="6" fillId="0" borderId="14" xfId="0" applyFont="1" applyBorder="1"/>
    <xf numFmtId="0" fontId="2" fillId="0" borderId="0" xfId="0" applyFont="1" applyBorder="1" applyAlignment="1"/>
    <xf numFmtId="0" fontId="0" fillId="0" borderId="0" xfId="0" applyBorder="1"/>
    <xf numFmtId="0" fontId="6" fillId="0" borderId="9" xfId="0" applyFont="1" applyBorder="1" applyAlignment="1">
      <alignment vertical="top"/>
    </xf>
    <xf numFmtId="4" fontId="2" fillId="0" borderId="15" xfId="0" applyNumberFormat="1" applyFont="1" applyBorder="1"/>
    <xf numFmtId="0" fontId="6" fillId="0" borderId="4" xfId="0" applyFont="1" applyBorder="1"/>
    <xf numFmtId="3" fontId="2" fillId="0" borderId="1" xfId="0" applyNumberFormat="1" applyFont="1" applyBorder="1" applyAlignment="1"/>
    <xf numFmtId="3" fontId="2" fillId="0" borderId="16" xfId="0" applyNumberFormat="1" applyFont="1" applyBorder="1"/>
    <xf numFmtId="0" fontId="2" fillId="0" borderId="6" xfId="0" applyFont="1" applyBorder="1"/>
    <xf numFmtId="3" fontId="2" fillId="0" borderId="7" xfId="0" applyNumberFormat="1" applyFont="1" applyBorder="1" applyAlignment="1"/>
    <xf numFmtId="3" fontId="2" fillId="0" borderId="17" xfId="0" applyNumberFormat="1" applyFont="1" applyBorder="1"/>
    <xf numFmtId="0" fontId="6" fillId="0" borderId="18" xfId="0" applyFont="1" applyBorder="1"/>
    <xf numFmtId="0" fontId="6" fillId="0" borderId="19" xfId="0" applyFont="1" applyBorder="1" applyAlignment="1">
      <alignment horizontal="center"/>
    </xf>
    <xf numFmtId="0" fontId="6" fillId="0" borderId="20" xfId="0" applyFont="1" applyBorder="1"/>
    <xf numFmtId="0" fontId="9" fillId="0" borderId="21" xfId="0" applyFont="1" applyBorder="1" applyAlignment="1">
      <alignment vertical="top"/>
    </xf>
    <xf numFmtId="0" fontId="0" fillId="0" borderId="22" xfId="0" applyBorder="1"/>
    <xf numFmtId="0" fontId="9"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0" fillId="0" borderId="4" xfId="0" applyBorder="1"/>
    <xf numFmtId="0" fontId="0" fillId="0" borderId="27" xfId="0" applyBorder="1"/>
    <xf numFmtId="0" fontId="0" fillId="0" borderId="6" xfId="0" applyBorder="1"/>
    <xf numFmtId="0" fontId="2" fillId="2" borderId="22" xfId="0" applyFont="1" applyFill="1" applyBorder="1" applyAlignment="1">
      <alignment horizontal="centerContinuous"/>
    </xf>
    <xf numFmtId="0" fontId="2" fillId="2" borderId="23" xfId="0" applyFont="1" applyFill="1" applyBorder="1" applyAlignment="1">
      <alignment horizontal="centerContinuous"/>
    </xf>
    <xf numFmtId="0" fontId="5" fillId="2" borderId="21" xfId="0" applyFont="1" applyFill="1" applyBorder="1" applyAlignment="1">
      <alignment horizontal="centerContinuous"/>
    </xf>
    <xf numFmtId="0" fontId="0" fillId="2" borderId="22" xfId="0" applyFill="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Continuous"/>
    </xf>
    <xf numFmtId="0" fontId="2"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2" fillId="0" borderId="0" xfId="0" applyFont="1" applyFill="1" applyAlignment="1">
      <alignment horizontal="centerContinuous"/>
    </xf>
    <xf numFmtId="0" fontId="8" fillId="0" borderId="0" xfId="0" quotePrefix="1" applyFont="1" applyFill="1" applyAlignment="1">
      <alignment horizontal="centerContinuous"/>
    </xf>
    <xf numFmtId="49" fontId="9" fillId="0" borderId="0" xfId="0" applyNumberFormat="1" applyFont="1" applyAlignment="1">
      <alignment horizontal="centerContinuous" vertical="center" wrapText="1"/>
    </xf>
    <xf numFmtId="0" fontId="0" fillId="0" borderId="0" xfId="0" applyAlignment="1">
      <alignment horizontal="centerContinuous" vertical="center" wrapText="1"/>
    </xf>
    <xf numFmtId="49" fontId="2" fillId="0" borderId="0" xfId="0" applyNumberFormat="1" applyFont="1" applyFill="1" applyAlignment="1">
      <alignment horizontal="centerContinuous" vertical="center" wrapText="1"/>
    </xf>
    <xf numFmtId="0" fontId="2" fillId="0" borderId="0" xfId="0" applyFont="1" applyFill="1" applyAlignment="1">
      <alignment horizontal="centerContinuous" vertical="center" wrapText="1"/>
    </xf>
    <xf numFmtId="165" fontId="3" fillId="0" borderId="0" xfId="0" applyNumberFormat="1" applyFont="1" applyBorder="1"/>
    <xf numFmtId="0" fontId="3" fillId="0" borderId="0" xfId="0" applyFont="1" applyFill="1" applyBorder="1"/>
    <xf numFmtId="0" fontId="3" fillId="0" borderId="0" xfId="0" applyFont="1" applyBorder="1" applyAlignment="1"/>
    <xf numFmtId="49" fontId="3" fillId="0" borderId="0" xfId="0" applyNumberFormat="1" applyFont="1" applyBorder="1"/>
    <xf numFmtId="49" fontId="2" fillId="0" borderId="0" xfId="0" applyNumberFormat="1" applyFont="1" applyAlignment="1">
      <alignment horizontal="centerContinuous" vertical="center"/>
    </xf>
    <xf numFmtId="49" fontId="8" fillId="0" borderId="0" xfId="0" applyNumberFormat="1" applyFont="1" applyAlignment="1">
      <alignment horizontal="centerContinuous" vertical="center"/>
    </xf>
    <xf numFmtId="49" fontId="2" fillId="0" borderId="0" xfId="0" applyNumberFormat="1" applyFont="1" applyAlignment="1" applyProtection="1">
      <alignment horizontal="centerContinuous" vertical="center" wrapText="1"/>
      <protection locked="0"/>
    </xf>
    <xf numFmtId="0" fontId="3" fillId="0" borderId="0" xfId="0" applyFont="1"/>
    <xf numFmtId="0" fontId="6" fillId="0" borderId="6" xfId="0" applyFont="1" applyBorder="1" applyAlignment="1">
      <alignment vertical="top"/>
    </xf>
    <xf numFmtId="0" fontId="6" fillId="0" borderId="7" xfId="0" applyFont="1" applyBorder="1"/>
    <xf numFmtId="0" fontId="6" fillId="0" borderId="29" xfId="0" applyFont="1" applyBorder="1" applyAlignment="1">
      <alignment horizontal="center"/>
    </xf>
    <xf numFmtId="0" fontId="2" fillId="0" borderId="7" xfId="0" applyFont="1" applyBorder="1"/>
    <xf numFmtId="49" fontId="9" fillId="5" borderId="21" xfId="0" applyNumberFormat="1" applyFont="1" applyFill="1" applyBorder="1" applyAlignment="1">
      <alignment horizontal="centerContinuous"/>
    </xf>
    <xf numFmtId="0" fontId="2" fillId="5" borderId="22" xfId="0" applyFont="1" applyFill="1" applyBorder="1" applyAlignment="1">
      <alignment horizontal="centerContinuous"/>
    </xf>
    <xf numFmtId="49" fontId="2" fillId="0" borderId="0" xfId="0" applyNumberFormat="1" applyFont="1" applyFill="1" applyBorder="1" applyAlignment="1" applyProtection="1">
      <alignment horizontal="centerContinuous" vertical="center" wrapText="1"/>
      <protection locked="0"/>
    </xf>
    <xf numFmtId="49" fontId="2" fillId="0" borderId="0" xfId="0" applyNumberFormat="1" applyFont="1" applyFill="1" applyBorder="1" applyAlignment="1">
      <alignment horizontal="centerContinuous" vertical="center" wrapText="1"/>
    </xf>
    <xf numFmtId="0" fontId="2" fillId="0" borderId="0" xfId="0" applyFont="1" applyFill="1" applyBorder="1" applyAlignment="1">
      <alignment horizontal="centerContinuous" vertical="center" wrapText="1"/>
    </xf>
    <xf numFmtId="49" fontId="9" fillId="6" borderId="21" xfId="0" applyNumberFormat="1" applyFont="1" applyFill="1" applyBorder="1" applyAlignment="1">
      <alignment horizontal="centerContinuous"/>
    </xf>
    <xf numFmtId="0" fontId="2" fillId="6" borderId="22" xfId="0" applyFont="1" applyFill="1" applyBorder="1" applyAlignment="1">
      <alignment horizontal="centerContinuous"/>
    </xf>
    <xf numFmtId="49" fontId="2" fillId="0" borderId="40" xfId="0" applyNumberFormat="1" applyFont="1" applyFill="1" applyBorder="1" applyAlignment="1">
      <alignment horizontal="center"/>
    </xf>
    <xf numFmtId="0" fontId="2" fillId="0" borderId="41" xfId="0" applyFont="1" applyFill="1" applyBorder="1" applyAlignment="1">
      <alignment horizontal="center"/>
    </xf>
    <xf numFmtId="165" fontId="2" fillId="0" borderId="41" xfId="0" applyNumberFormat="1" applyFont="1" applyFill="1" applyBorder="1" applyAlignment="1">
      <alignment horizontal="center"/>
    </xf>
    <xf numFmtId="39" fontId="2" fillId="0" borderId="42" xfId="0" applyNumberFormat="1" applyFont="1" applyFill="1" applyBorder="1" applyAlignment="1">
      <alignment horizontal="center"/>
    </xf>
    <xf numFmtId="39" fontId="2" fillId="0" borderId="5" xfId="0" applyNumberFormat="1" applyFont="1" applyFill="1" applyBorder="1" applyAlignment="1">
      <alignment horizontal="center"/>
    </xf>
    <xf numFmtId="49" fontId="2" fillId="0" borderId="46" xfId="0" applyNumberFormat="1" applyFont="1" applyFill="1" applyBorder="1" applyAlignment="1">
      <alignment horizontal="center"/>
    </xf>
    <xf numFmtId="0" fontId="2" fillId="0" borderId="47" xfId="0" applyFont="1" applyFill="1" applyBorder="1" applyAlignment="1">
      <alignment horizontal="center"/>
    </xf>
    <xf numFmtId="0" fontId="2" fillId="0" borderId="48" xfId="0" applyFont="1" applyFill="1" applyBorder="1" applyAlignment="1">
      <alignment horizontal="center"/>
    </xf>
    <xf numFmtId="165" fontId="2" fillId="0" borderId="48" xfId="0" applyNumberFormat="1" applyFont="1" applyFill="1" applyBorder="1" applyAlignment="1">
      <alignment horizontal="center"/>
    </xf>
    <xf numFmtId="39" fontId="10" fillId="0" borderId="44" xfId="0" applyNumberFormat="1" applyFont="1" applyFill="1" applyBorder="1" applyAlignment="1">
      <alignment horizontal="center"/>
    </xf>
    <xf numFmtId="39" fontId="10" fillId="0" borderId="8" xfId="0" applyNumberFormat="1" applyFont="1" applyFill="1" applyBorder="1" applyAlignment="1">
      <alignment horizontal="center"/>
    </xf>
    <xf numFmtId="0" fontId="6" fillId="0" borderId="22" xfId="0" applyFont="1" applyBorder="1" applyAlignment="1">
      <alignment horizontal="left"/>
    </xf>
    <xf numFmtId="3" fontId="6" fillId="0" borderId="22" xfId="0" applyNumberFormat="1" applyFont="1" applyBorder="1" applyAlignment="1">
      <alignment horizontal="left"/>
    </xf>
    <xf numFmtId="0" fontId="11" fillId="0" borderId="0" xfId="0" applyFont="1"/>
    <xf numFmtId="0" fontId="6" fillId="0" borderId="21" xfId="0" applyFont="1" applyBorder="1" applyAlignment="1">
      <alignment vertical="center"/>
    </xf>
    <xf numFmtId="0" fontId="11" fillId="0" borderId="22" xfId="0" applyFont="1" applyBorder="1"/>
    <xf numFmtId="165" fontId="2" fillId="0" borderId="0" xfId="0" applyNumberFormat="1" applyFont="1" applyBorder="1"/>
    <xf numFmtId="49" fontId="2" fillId="0" borderId="43" xfId="0" applyNumberFormat="1" applyFont="1" applyFill="1" applyBorder="1" applyAlignment="1">
      <alignment horizontal="center"/>
    </xf>
    <xf numFmtId="0" fontId="2" fillId="0" borderId="44" xfId="0" applyFont="1" applyFill="1" applyBorder="1" applyAlignment="1">
      <alignment horizontal="center"/>
    </xf>
    <xf numFmtId="0" fontId="2" fillId="0" borderId="45" xfId="0" applyFont="1" applyFill="1" applyBorder="1" applyAlignment="1">
      <alignment horizontal="center"/>
    </xf>
    <xf numFmtId="165" fontId="2" fillId="0" borderId="45" xfId="0" applyNumberFormat="1" applyFont="1" applyFill="1" applyBorder="1" applyAlignment="1">
      <alignment horizontal="center"/>
    </xf>
    <xf numFmtId="0" fontId="6" fillId="0" borderId="20" xfId="0" applyFont="1" applyBorder="1" applyAlignment="1">
      <alignment horizontal="centerContinuous"/>
    </xf>
    <xf numFmtId="3" fontId="6" fillId="0" borderId="20" xfId="0" applyNumberFormat="1" applyFont="1" applyBorder="1" applyAlignment="1">
      <alignment horizontal="centerContinuous"/>
    </xf>
    <xf numFmtId="0" fontId="6" fillId="0" borderId="1" xfId="0" applyFont="1" applyBorder="1" applyAlignment="1">
      <alignment horizontal="centerContinuous"/>
    </xf>
    <xf numFmtId="3" fontId="6" fillId="0" borderId="1" xfId="0" applyNumberFormat="1" applyFont="1" applyBorder="1" applyAlignment="1">
      <alignment horizontal="centerContinuous"/>
    </xf>
    <xf numFmtId="3" fontId="6" fillId="0" borderId="39" xfId="0" applyNumberFormat="1" applyFont="1" applyBorder="1" applyAlignment="1">
      <alignment horizontal="centerContinuous"/>
    </xf>
    <xf numFmtId="0" fontId="6" fillId="0" borderId="1" xfId="0" applyFont="1" applyFill="1" applyBorder="1" applyAlignment="1">
      <alignment horizontal="centerContinuous"/>
    </xf>
    <xf numFmtId="3" fontId="6" fillId="0" borderId="1" xfId="0" applyNumberFormat="1" applyFont="1" applyFill="1" applyBorder="1" applyAlignment="1">
      <alignment horizontal="centerContinuous"/>
    </xf>
    <xf numFmtId="3" fontId="6" fillId="0" borderId="39" xfId="0" applyNumberFormat="1" applyFont="1" applyFill="1" applyBorder="1" applyAlignment="1">
      <alignment horizontal="centerContinuous"/>
    </xf>
    <xf numFmtId="0" fontId="11" fillId="0" borderId="27" xfId="0" applyFont="1" applyBorder="1"/>
    <xf numFmtId="0" fontId="11" fillId="0" borderId="0" xfId="0" applyFont="1" applyBorder="1"/>
    <xf numFmtId="0" fontId="11" fillId="0" borderId="16" xfId="0" applyFont="1" applyBorder="1"/>
    <xf numFmtId="0" fontId="11" fillId="0" borderId="23" xfId="0" applyFont="1" applyBorder="1"/>
    <xf numFmtId="0" fontId="10" fillId="0" borderId="45" xfId="0" applyFont="1" applyFill="1" applyBorder="1" applyAlignment="1">
      <alignment horizontal="center"/>
    </xf>
    <xf numFmtId="0" fontId="10" fillId="0" borderId="8" xfId="0" applyFont="1" applyFill="1" applyBorder="1" applyAlignment="1">
      <alignment horizontal="center"/>
    </xf>
    <xf numFmtId="0" fontId="6" fillId="0" borderId="22" xfId="0" applyFont="1" applyFill="1" applyBorder="1" applyAlignment="1">
      <alignment horizontal="centerContinuous"/>
    </xf>
    <xf numFmtId="0" fontId="6" fillId="0" borderId="20" xfId="0" applyFont="1" applyFill="1" applyBorder="1" applyAlignment="1">
      <alignment horizontal="centerContinuous"/>
    </xf>
    <xf numFmtId="0" fontId="6" fillId="0" borderId="53" xfId="0" applyFont="1" applyFill="1" applyBorder="1" applyAlignment="1">
      <alignment horizontal="centerContinuous"/>
    </xf>
    <xf numFmtId="0" fontId="0" fillId="0" borderId="2" xfId="0" applyBorder="1" applyAlignment="1">
      <alignment horizontal="center" vertical="top" wrapText="1"/>
    </xf>
    <xf numFmtId="3" fontId="0" fillId="0" borderId="2" xfId="1" applyNumberFormat="1" applyFont="1" applyBorder="1" applyAlignment="1">
      <alignment vertical="center" wrapText="1"/>
    </xf>
    <xf numFmtId="3" fontId="0" fillId="0" borderId="12" xfId="1" applyNumberFormat="1" applyFont="1" applyBorder="1" applyAlignment="1">
      <alignment vertical="center" wrapText="1"/>
    </xf>
    <xf numFmtId="0" fontId="0" fillId="0" borderId="2" xfId="0" applyBorder="1" applyAlignment="1">
      <alignment vertical="top" wrapText="1"/>
    </xf>
    <xf numFmtId="1" fontId="0" fillId="0" borderId="2" xfId="0" applyNumberFormat="1" applyFont="1" applyBorder="1" applyAlignment="1">
      <alignment horizontal="center" vertical="top"/>
    </xf>
    <xf numFmtId="49" fontId="2" fillId="0" borderId="0" xfId="0" applyNumberFormat="1" applyFont="1" applyAlignment="1">
      <alignment horizontal="centerContinuous" vertical="center" wrapText="1"/>
    </xf>
    <xf numFmtId="0" fontId="4" fillId="0" borderId="0" xfId="0" applyFont="1" applyAlignment="1">
      <alignment horizontal="centerContinuous"/>
    </xf>
    <xf numFmtId="0" fontId="9" fillId="3" borderId="21" xfId="0" applyFont="1" applyFill="1" applyBorder="1" applyAlignment="1">
      <alignment horizontal="centerContinuous" wrapText="1"/>
    </xf>
    <xf numFmtId="0" fontId="2" fillId="3" borderId="22" xfId="0" applyFont="1" applyFill="1" applyBorder="1" applyAlignment="1">
      <alignment horizontal="centerContinuous" wrapText="1"/>
    </xf>
    <xf numFmtId="0" fontId="2" fillId="3" borderId="23" xfId="0" applyFont="1" applyFill="1" applyBorder="1" applyAlignment="1">
      <alignment horizontal="centerContinuous" wrapText="1"/>
    </xf>
    <xf numFmtId="0" fontId="0" fillId="0" borderId="0" xfId="0" applyFill="1"/>
    <xf numFmtId="0" fontId="9" fillId="3" borderId="22" xfId="0" applyFont="1" applyFill="1" applyBorder="1" applyAlignment="1">
      <alignment horizontal="centerContinuous" wrapText="1"/>
    </xf>
    <xf numFmtId="0" fontId="6" fillId="0" borderId="22" xfId="0" applyFont="1" applyBorder="1" applyAlignment="1">
      <alignment vertical="center"/>
    </xf>
    <xf numFmtId="0" fontId="4" fillId="0" borderId="45" xfId="0" applyFont="1" applyFill="1" applyBorder="1" applyAlignment="1">
      <alignment horizontal="center" wrapText="1"/>
    </xf>
    <xf numFmtId="0" fontId="4" fillId="0" borderId="8" xfId="0" applyFont="1" applyFill="1" applyBorder="1" applyAlignment="1">
      <alignment horizontal="center" wrapText="1"/>
    </xf>
    <xf numFmtId="49" fontId="1" fillId="0" borderId="3"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22" xfId="0" applyFont="1" applyFill="1" applyBorder="1" applyAlignment="1">
      <alignment horizontal="center"/>
    </xf>
    <xf numFmtId="0" fontId="2" fillId="0" borderId="49" xfId="0" applyFont="1" applyFill="1" applyBorder="1" applyAlignment="1">
      <alignment horizontal="center" vertical="top" wrapText="1"/>
    </xf>
    <xf numFmtId="0" fontId="1" fillId="0" borderId="56" xfId="0" applyFont="1" applyFill="1" applyBorder="1" applyAlignment="1">
      <alignment horizontal="center" vertical="top" wrapText="1"/>
    </xf>
    <xf numFmtId="0" fontId="2" fillId="0" borderId="56" xfId="0" applyFont="1" applyFill="1" applyBorder="1" applyAlignment="1">
      <alignment vertical="top" wrapText="1"/>
    </xf>
    <xf numFmtId="0" fontId="11" fillId="0" borderId="49"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1" xfId="0" applyFont="1" applyFill="1" applyBorder="1" applyAlignment="1">
      <alignment vertical="top" wrapText="1"/>
    </xf>
    <xf numFmtId="0" fontId="2" fillId="0" borderId="21" xfId="0" applyFont="1" applyFill="1" applyBorder="1" applyAlignment="1"/>
    <xf numFmtId="0" fontId="2" fillId="4" borderId="21" xfId="0" applyFont="1" applyFill="1" applyBorder="1" applyAlignment="1"/>
    <xf numFmtId="0" fontId="1" fillId="4" borderId="22" xfId="0" applyFont="1" applyFill="1" applyBorder="1" applyAlignment="1">
      <alignment horizontal="center"/>
    </xf>
    <xf numFmtId="0" fontId="2" fillId="0" borderId="56" xfId="0" applyFont="1" applyFill="1" applyBorder="1" applyAlignment="1">
      <alignment horizontal="center" vertical="top" wrapText="1"/>
    </xf>
    <xf numFmtId="49" fontId="1" fillId="0" borderId="54" xfId="0" applyNumberFormat="1" applyFont="1" applyFill="1" applyBorder="1" applyAlignment="1">
      <alignment horizontal="center" vertical="top" wrapText="1"/>
    </xf>
    <xf numFmtId="0" fontId="2" fillId="0" borderId="34" xfId="0" applyFont="1" applyFill="1" applyBorder="1" applyAlignment="1">
      <alignment vertical="top" wrapText="1"/>
    </xf>
    <xf numFmtId="0" fontId="1" fillId="0" borderId="50" xfId="0" applyFont="1" applyFill="1" applyBorder="1" applyAlignment="1">
      <alignment vertical="top" wrapText="1"/>
    </xf>
    <xf numFmtId="0" fontId="1" fillId="0" borderId="2" xfId="0" applyFont="1" applyBorder="1" applyAlignment="1">
      <alignment horizontal="justify" vertical="top" wrapText="1"/>
    </xf>
    <xf numFmtId="0" fontId="1" fillId="0" borderId="54" xfId="0" applyFont="1" applyFill="1" applyBorder="1" applyAlignment="1">
      <alignment horizontal="center" vertical="top" wrapText="1"/>
    </xf>
    <xf numFmtId="0" fontId="1" fillId="0" borderId="2" xfId="0" applyFont="1" applyFill="1" applyBorder="1" applyAlignment="1">
      <alignment horizontal="right" vertical="top" wrapText="1"/>
    </xf>
    <xf numFmtId="0" fontId="1" fillId="0" borderId="50" xfId="0" applyFont="1" applyFill="1" applyBorder="1" applyAlignment="1">
      <alignment horizontal="justify" vertical="top" wrapText="1"/>
    </xf>
    <xf numFmtId="0" fontId="1" fillId="0" borderId="2" xfId="0" applyFont="1" applyFill="1" applyBorder="1" applyAlignment="1">
      <alignment horizontal="justify" vertical="top" wrapText="1"/>
    </xf>
    <xf numFmtId="0" fontId="6" fillId="0" borderId="20" xfId="0" applyFont="1" applyFill="1" applyBorder="1" applyAlignment="1">
      <alignment horizontal="right"/>
    </xf>
    <xf numFmtId="0" fontId="2" fillId="0" borderId="21" xfId="0" applyFont="1" applyBorder="1" applyAlignment="1">
      <alignment horizontal="left"/>
    </xf>
    <xf numFmtId="0" fontId="12" fillId="4" borderId="23" xfId="0" applyFont="1" applyFill="1" applyBorder="1"/>
    <xf numFmtId="0" fontId="1" fillId="0" borderId="49" xfId="0" applyFont="1" applyBorder="1" applyAlignment="1">
      <alignment horizontal="center" vertical="top" wrapText="1"/>
    </xf>
    <xf numFmtId="0" fontId="6" fillId="0" borderId="22" xfId="0" applyFont="1" applyBorder="1" applyAlignment="1">
      <alignment horizontal="left" vertical="top"/>
    </xf>
    <xf numFmtId="3" fontId="6" fillId="0" borderId="22" xfId="0" applyNumberFormat="1" applyFont="1" applyBorder="1" applyAlignment="1">
      <alignment horizontal="left" vertical="top"/>
    </xf>
    <xf numFmtId="3" fontId="6" fillId="0" borderId="23" xfId="0" applyNumberFormat="1" applyFont="1" applyBorder="1" applyAlignment="1">
      <alignment horizontal="left" vertical="top"/>
    </xf>
    <xf numFmtId="0" fontId="1" fillId="0" borderId="22" xfId="0" applyFont="1" applyFill="1" applyBorder="1" applyAlignment="1">
      <alignment horizontal="center" vertical="top"/>
    </xf>
    <xf numFmtId="0" fontId="12" fillId="0" borderId="23" xfId="0" applyFont="1" applyBorder="1" applyAlignment="1">
      <alignment vertical="top"/>
    </xf>
    <xf numFmtId="0" fontId="1" fillId="4" borderId="22" xfId="0" applyFont="1" applyFill="1" applyBorder="1" applyAlignment="1">
      <alignment horizontal="center" vertical="top"/>
    </xf>
    <xf numFmtId="0" fontId="12" fillId="4" borderId="23" xfId="0" applyFont="1" applyFill="1" applyBorder="1" applyAlignment="1">
      <alignment vertical="top"/>
    </xf>
    <xf numFmtId="0" fontId="0" fillId="0" borderId="0" xfId="0" applyFill="1" applyAlignment="1">
      <alignment vertical="top"/>
    </xf>
    <xf numFmtId="0" fontId="2" fillId="0" borderId="9" xfId="0" applyFont="1" applyBorder="1" applyAlignment="1">
      <alignment horizontal="left"/>
    </xf>
    <xf numFmtId="0" fontId="2" fillId="0" borderId="4" xfId="0" applyFont="1" applyBorder="1" applyAlignment="1">
      <alignment horizontal="left"/>
    </xf>
    <xf numFmtId="0" fontId="2" fillId="0" borderId="4" xfId="0" applyFont="1" applyFill="1" applyBorder="1" applyAlignment="1">
      <alignment horizontal="left"/>
    </xf>
    <xf numFmtId="0" fontId="1" fillId="0" borderId="3" xfId="0" applyFont="1" applyBorder="1" applyAlignment="1">
      <alignment horizontal="center" vertical="top" wrapText="1"/>
    </xf>
    <xf numFmtId="0" fontId="2" fillId="0" borderId="21" xfId="0" applyFont="1" applyFill="1" applyBorder="1" applyAlignment="1">
      <alignment horizontal="left"/>
    </xf>
    <xf numFmtId="0" fontId="2" fillId="0" borderId="9" xfId="0" applyFont="1" applyFill="1" applyBorder="1" applyAlignment="1">
      <alignment horizontal="left"/>
    </xf>
    <xf numFmtId="0" fontId="6" fillId="0" borderId="22" xfId="0" applyFont="1" applyFill="1" applyBorder="1" applyAlignment="1">
      <alignment horizontal="right"/>
    </xf>
    <xf numFmtId="0" fontId="6" fillId="0" borderId="23" xfId="0" applyFont="1" applyFill="1" applyBorder="1" applyAlignment="1">
      <alignment horizontal="centerContinuous"/>
    </xf>
    <xf numFmtId="0" fontId="1" fillId="0" borderId="57" xfId="0" applyFont="1" applyFill="1" applyBorder="1" applyAlignment="1">
      <alignment horizontal="justify" vertical="top" wrapText="1"/>
    </xf>
    <xf numFmtId="0" fontId="1" fillId="0" borderId="57" xfId="0" applyFont="1" applyFill="1" applyBorder="1" applyAlignment="1">
      <alignment horizontal="center" vertical="top" wrapText="1"/>
    </xf>
    <xf numFmtId="0" fontId="1" fillId="0" borderId="57" xfId="0" applyFont="1" applyFill="1" applyBorder="1" applyAlignment="1">
      <alignment vertical="top" wrapText="1"/>
    </xf>
    <xf numFmtId="0" fontId="1" fillId="0" borderId="11" xfId="0" applyFont="1" applyBorder="1" applyAlignment="1">
      <alignment vertical="top" wrapText="1"/>
    </xf>
    <xf numFmtId="0" fontId="1" fillId="0" borderId="56" xfId="0" applyFont="1" applyBorder="1" applyAlignment="1">
      <alignment vertical="top" wrapText="1"/>
    </xf>
    <xf numFmtId="2" fontId="1" fillId="0" borderId="2" xfId="0" applyNumberFormat="1" applyFont="1" applyFill="1" applyBorder="1" applyAlignment="1">
      <alignment vertical="top" wrapText="1"/>
    </xf>
    <xf numFmtId="0" fontId="1" fillId="0" borderId="2" xfId="0" applyFont="1" applyBorder="1" applyAlignment="1" applyProtection="1">
      <alignment vertical="top" wrapText="1"/>
    </xf>
    <xf numFmtId="0" fontId="1" fillId="0" borderId="37" xfId="0" applyFont="1" applyBorder="1" applyAlignment="1">
      <alignment horizontal="justify"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0" xfId="0" applyFont="1"/>
    <xf numFmtId="0" fontId="15" fillId="0" borderId="2" xfId="0" applyFont="1" applyFill="1" applyBorder="1" applyAlignment="1">
      <alignment vertical="top" wrapText="1"/>
    </xf>
    <xf numFmtId="49" fontId="1" fillId="0" borderId="3" xfId="0" applyNumberFormat="1" applyFont="1" applyBorder="1" applyAlignment="1">
      <alignment horizontal="center" vertical="top" wrapText="1"/>
    </xf>
    <xf numFmtId="0" fontId="15" fillId="0" borderId="2" xfId="0" applyFont="1" applyBorder="1" applyAlignment="1">
      <alignment vertical="top" wrapText="1"/>
    </xf>
    <xf numFmtId="49" fontId="6" fillId="0" borderId="49" xfId="0" applyNumberFormat="1" applyFont="1" applyFill="1" applyBorder="1" applyAlignment="1">
      <alignment horizontal="center" vertical="top"/>
    </xf>
    <xf numFmtId="49" fontId="16" fillId="7" borderId="3" xfId="0" applyNumberFormat="1" applyFont="1" applyFill="1" applyBorder="1" applyAlignment="1">
      <alignment horizontal="center" vertical="center" wrapText="1"/>
    </xf>
    <xf numFmtId="4" fontId="1" fillId="0" borderId="2" xfId="0" applyNumberFormat="1" applyFont="1" applyFill="1" applyBorder="1" applyAlignment="1">
      <alignment horizontal="right"/>
    </xf>
    <xf numFmtId="4" fontId="1" fillId="0" borderId="2" xfId="0" applyNumberFormat="1" applyFont="1" applyFill="1" applyBorder="1" applyAlignment="1">
      <alignment horizontal="right" wrapText="1"/>
    </xf>
    <xf numFmtId="0" fontId="1" fillId="0" borderId="2" xfId="0" applyFont="1" applyFill="1" applyBorder="1" applyAlignment="1">
      <alignment horizontal="center" vertical="center" wrapText="1"/>
    </xf>
    <xf numFmtId="49" fontId="1" fillId="0" borderId="49" xfId="0" applyNumberFormat="1" applyFont="1" applyFill="1" applyBorder="1" applyAlignment="1">
      <alignment horizontal="center" vertical="top" wrapText="1"/>
    </xf>
    <xf numFmtId="49" fontId="1" fillId="0" borderId="61" xfId="0" applyNumberFormat="1" applyFont="1" applyFill="1" applyBorder="1" applyAlignment="1">
      <alignment horizontal="center" vertical="top" wrapText="1"/>
    </xf>
    <xf numFmtId="49" fontId="11" fillId="0" borderId="61" xfId="0" applyNumberFormat="1" applyFont="1" applyFill="1" applyBorder="1" applyAlignment="1">
      <alignment horizontal="center" vertical="top" wrapText="1"/>
    </xf>
    <xf numFmtId="49" fontId="1" fillId="0" borderId="49" xfId="0" applyNumberFormat="1" applyFont="1" applyBorder="1" applyAlignment="1">
      <alignment horizontal="center" vertical="top" wrapText="1"/>
    </xf>
    <xf numFmtId="49" fontId="6" fillId="0" borderId="63" xfId="0" applyNumberFormat="1" applyFont="1" applyFill="1" applyBorder="1" applyAlignment="1">
      <alignment horizontal="center" vertical="top"/>
    </xf>
    <xf numFmtId="0" fontId="1" fillId="0" borderId="2" xfId="0" applyFont="1" applyBorder="1" applyAlignment="1">
      <alignment horizontal="center" wrapText="1"/>
    </xf>
    <xf numFmtId="4" fontId="1" fillId="0" borderId="34" xfId="0" applyNumberFormat="1" applyFont="1" applyBorder="1" applyAlignment="1">
      <alignment horizontal="right" wrapText="1"/>
    </xf>
    <xf numFmtId="49" fontId="1" fillId="8" borderId="3" xfId="0" applyNumberFormat="1" applyFont="1" applyFill="1" applyBorder="1" applyAlignment="1">
      <alignment horizontal="center" vertical="top" wrapText="1"/>
    </xf>
    <xf numFmtId="0" fontId="1" fillId="0" borderId="2" xfId="0" applyFont="1" applyFill="1" applyBorder="1" applyAlignment="1">
      <alignment horizontal="center" wrapText="1"/>
    </xf>
    <xf numFmtId="49" fontId="19" fillId="0" borderId="61" xfId="0" applyNumberFormat="1" applyFont="1" applyFill="1" applyBorder="1" applyAlignment="1">
      <alignment horizontal="center" vertical="top" wrapText="1"/>
    </xf>
    <xf numFmtId="0" fontId="19" fillId="0" borderId="2" xfId="0" applyFont="1" applyFill="1" applyBorder="1" applyAlignment="1">
      <alignment horizontal="center" wrapText="1"/>
    </xf>
    <xf numFmtId="0" fontId="19" fillId="0" borderId="11" xfId="0" applyFont="1" applyFill="1" applyBorder="1" applyAlignment="1">
      <alignment horizontal="center" wrapText="1"/>
    </xf>
    <xf numFmtId="49" fontId="11" fillId="0" borderId="3" xfId="0" applyNumberFormat="1" applyFont="1" applyFill="1" applyBorder="1" applyAlignment="1">
      <alignment horizontal="center" vertical="top" wrapText="1"/>
    </xf>
    <xf numFmtId="0" fontId="11" fillId="0" borderId="2" xfId="0" applyFont="1" applyFill="1" applyBorder="1" applyAlignment="1">
      <alignment horizontal="center" wrapText="1"/>
    </xf>
    <xf numFmtId="0" fontId="11" fillId="8" borderId="2" xfId="0" applyFont="1" applyFill="1" applyBorder="1" applyAlignment="1">
      <alignment horizontal="center" wrapText="1"/>
    </xf>
    <xf numFmtId="0" fontId="11" fillId="0" borderId="59" xfId="0" applyFont="1" applyFill="1" applyBorder="1" applyAlignment="1">
      <alignment horizontal="center" wrapText="1"/>
    </xf>
    <xf numFmtId="4" fontId="1" fillId="0" borderId="2" xfId="0" applyNumberFormat="1" applyFont="1" applyFill="1" applyBorder="1" applyAlignment="1">
      <alignment horizontal="center"/>
    </xf>
    <xf numFmtId="49" fontId="1" fillId="0" borderId="65" xfId="0" applyNumberFormat="1" applyFont="1" applyBorder="1" applyAlignment="1">
      <alignment horizontal="center" vertical="top" wrapText="1"/>
    </xf>
    <xf numFmtId="49" fontId="1" fillId="0" borderId="3"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4" fontId="14" fillId="0" borderId="20" xfId="0" applyNumberFormat="1" applyFont="1" applyFill="1" applyBorder="1" applyAlignment="1">
      <alignment vertical="top"/>
    </xf>
    <xf numFmtId="165" fontId="14" fillId="0" borderId="20" xfId="0" applyNumberFormat="1" applyFont="1" applyFill="1" applyBorder="1" applyAlignment="1">
      <alignment vertical="top"/>
    </xf>
    <xf numFmtId="39" fontId="14" fillId="0" borderId="53" xfId="0" applyNumberFormat="1" applyFont="1" applyFill="1" applyBorder="1" applyAlignment="1">
      <alignment vertical="top"/>
    </xf>
    <xf numFmtId="49" fontId="1" fillId="0" borderId="58" xfId="0" applyNumberFormat="1" applyFont="1" applyBorder="1" applyAlignment="1">
      <alignment horizontal="center" vertical="top" wrapText="1"/>
    </xf>
    <xf numFmtId="49" fontId="14" fillId="7" borderId="3" xfId="0" applyNumberFormat="1" applyFont="1" applyFill="1" applyBorder="1" applyAlignment="1">
      <alignment horizontal="center" vertical="top" wrapText="1"/>
    </xf>
    <xf numFmtId="0" fontId="0" fillId="0" borderId="2" xfId="0" applyBorder="1" applyAlignment="1">
      <alignment horizontal="center"/>
    </xf>
    <xf numFmtId="0" fontId="0" fillId="0" borderId="2" xfId="0" applyBorder="1" applyAlignment="1">
      <alignment wrapText="1"/>
    </xf>
    <xf numFmtId="49" fontId="6" fillId="0" borderId="21" xfId="0" applyNumberFormat="1" applyFont="1" applyFill="1" applyBorder="1" applyAlignment="1">
      <alignment vertical="center"/>
    </xf>
    <xf numFmtId="0" fontId="6" fillId="0" borderId="22" xfId="0" applyFont="1" applyFill="1" applyBorder="1" applyAlignment="1">
      <alignment vertical="center"/>
    </xf>
    <xf numFmtId="0" fontId="1" fillId="0" borderId="22" xfId="0" applyFont="1" applyFill="1" applyBorder="1" applyAlignment="1">
      <alignment vertical="center"/>
    </xf>
    <xf numFmtId="0" fontId="1" fillId="0" borderId="22" xfId="0" applyFont="1" applyFill="1" applyBorder="1" applyAlignment="1"/>
    <xf numFmtId="49" fontId="1" fillId="0" borderId="1" xfId="0" applyNumberFormat="1" applyFont="1" applyBorder="1" applyAlignment="1">
      <alignment horizontal="center" vertical="top" wrapText="1"/>
    </xf>
    <xf numFmtId="0" fontId="1" fillId="0" borderId="39" xfId="0" applyFont="1" applyFill="1" applyBorder="1" applyAlignment="1">
      <alignment horizontal="center" vertical="top" wrapText="1"/>
    </xf>
    <xf numFmtId="49" fontId="2" fillId="0" borderId="21" xfId="0" applyNumberFormat="1" applyFont="1" applyBorder="1" applyAlignment="1">
      <alignment horizontal="left" vertical="top" wrapText="1"/>
    </xf>
    <xf numFmtId="0" fontId="1" fillId="0" borderId="22" xfId="0" applyFont="1" applyFill="1" applyBorder="1" applyAlignment="1">
      <alignment horizontal="center" vertical="top" wrapText="1"/>
    </xf>
    <xf numFmtId="4" fontId="1" fillId="0" borderId="22" xfId="0" applyNumberFormat="1" applyFont="1" applyFill="1" applyBorder="1" applyAlignment="1">
      <alignment vertical="top"/>
    </xf>
    <xf numFmtId="165" fontId="1" fillId="0" borderId="22" xfId="0" applyNumberFormat="1" applyFont="1" applyFill="1" applyBorder="1" applyAlignment="1">
      <alignment vertical="top"/>
    </xf>
    <xf numFmtId="39" fontId="1" fillId="0" borderId="23" xfId="0" applyNumberFormat="1" applyFont="1" applyBorder="1" applyAlignment="1">
      <alignment vertical="top"/>
    </xf>
    <xf numFmtId="0" fontId="1" fillId="0" borderId="3" xfId="0" applyFont="1" applyFill="1" applyBorder="1" applyAlignment="1">
      <alignment horizontal="center" vertical="top" wrapText="1"/>
    </xf>
    <xf numFmtId="3" fontId="1" fillId="0" borderId="2" xfId="0" applyNumberFormat="1" applyFont="1" applyFill="1" applyBorder="1" applyAlignment="1"/>
    <xf numFmtId="3" fontId="1" fillId="0" borderId="12" xfId="0" applyNumberFormat="1" applyFont="1" applyFill="1" applyBorder="1" applyAlignment="1"/>
    <xf numFmtId="3" fontId="1" fillId="0" borderId="56" xfId="0" applyNumberFormat="1" applyFont="1" applyFill="1" applyBorder="1" applyAlignment="1"/>
    <xf numFmtId="3" fontId="1" fillId="0" borderId="36" xfId="0" applyNumberFormat="1" applyFont="1" applyFill="1" applyBorder="1" applyAlignment="1"/>
    <xf numFmtId="3" fontId="2" fillId="7" borderId="11" xfId="0" applyNumberFormat="1" applyFont="1" applyFill="1" applyBorder="1" applyAlignment="1"/>
    <xf numFmtId="3" fontId="2" fillId="7" borderId="35" xfId="0" applyNumberFormat="1" applyFont="1" applyFill="1" applyBorder="1" applyAlignment="1"/>
    <xf numFmtId="3" fontId="1" fillId="0" borderId="12" xfId="0" applyNumberFormat="1" applyFont="1" applyBorder="1" applyAlignment="1"/>
    <xf numFmtId="3" fontId="1" fillId="8" borderId="2" xfId="0" applyNumberFormat="1" applyFont="1" applyFill="1" applyBorder="1" applyAlignment="1"/>
    <xf numFmtId="3" fontId="1" fillId="8" borderId="12" xfId="0" applyNumberFormat="1" applyFont="1" applyFill="1" applyBorder="1" applyAlignment="1"/>
    <xf numFmtId="3" fontId="1" fillId="7" borderId="11" xfId="0" applyNumberFormat="1" applyFont="1" applyFill="1" applyBorder="1" applyAlignment="1"/>
    <xf numFmtId="3" fontId="1" fillId="7" borderId="35" xfId="0" applyNumberFormat="1" applyFont="1" applyFill="1" applyBorder="1" applyAlignment="1"/>
    <xf numFmtId="3" fontId="1" fillId="0" borderId="18" xfId="0" applyNumberFormat="1" applyFont="1" applyFill="1" applyBorder="1" applyAlignment="1"/>
    <xf numFmtId="3" fontId="1" fillId="0" borderId="62" xfId="0" applyNumberFormat="1" applyFont="1" applyBorder="1" applyAlignment="1"/>
    <xf numFmtId="3" fontId="1" fillId="0" borderId="35" xfId="0" applyNumberFormat="1" applyFont="1" applyBorder="1" applyAlignment="1"/>
    <xf numFmtId="3" fontId="1" fillId="0" borderId="11" xfId="0" applyNumberFormat="1" applyFont="1" applyFill="1" applyBorder="1" applyAlignment="1"/>
    <xf numFmtId="3" fontId="1" fillId="0" borderId="35" xfId="0" applyNumberFormat="1" applyFont="1" applyFill="1" applyBorder="1" applyAlignment="1"/>
    <xf numFmtId="3" fontId="1" fillId="0" borderId="37" xfId="0" applyNumberFormat="1" applyFont="1" applyFill="1" applyBorder="1" applyAlignment="1"/>
    <xf numFmtId="3" fontId="1" fillId="0" borderId="62" xfId="0" applyNumberFormat="1" applyFont="1" applyFill="1" applyBorder="1" applyAlignment="1"/>
    <xf numFmtId="3" fontId="19" fillId="0" borderId="11" xfId="0" applyNumberFormat="1" applyFont="1" applyFill="1" applyBorder="1" applyAlignment="1"/>
    <xf numFmtId="3" fontId="19" fillId="0" borderId="35" xfId="0" applyNumberFormat="1" applyFont="1" applyFill="1" applyBorder="1" applyAlignment="1"/>
    <xf numFmtId="3" fontId="19" fillId="0" borderId="2" xfId="0" applyNumberFormat="1" applyFont="1" applyFill="1" applyBorder="1" applyAlignment="1"/>
    <xf numFmtId="3" fontId="19" fillId="0" borderId="12" xfId="0" applyNumberFormat="1" applyFont="1" applyFill="1" applyBorder="1" applyAlignment="1"/>
    <xf numFmtId="3" fontId="1" fillId="0" borderId="36" xfId="0" applyNumberFormat="1" applyFont="1" applyBorder="1" applyAlignment="1"/>
    <xf numFmtId="3" fontId="11" fillId="0" borderId="11" xfId="0" applyNumberFormat="1" applyFont="1" applyFill="1" applyBorder="1" applyAlignment="1"/>
    <xf numFmtId="3" fontId="11" fillId="0" borderId="35" xfId="0" applyNumberFormat="1" applyFont="1" applyFill="1" applyBorder="1" applyAlignment="1"/>
    <xf numFmtId="3" fontId="11" fillId="0" borderId="2" xfId="0" applyNumberFormat="1" applyFont="1" applyFill="1" applyBorder="1" applyAlignment="1"/>
    <xf numFmtId="3" fontId="11" fillId="0" borderId="12" xfId="0" applyNumberFormat="1" applyFont="1" applyFill="1" applyBorder="1" applyAlignment="1"/>
    <xf numFmtId="3" fontId="17" fillId="0" borderId="2" xfId="0" applyNumberFormat="1" applyFont="1" applyFill="1" applyBorder="1" applyAlignment="1"/>
    <xf numFmtId="3" fontId="17" fillId="0" borderId="12" xfId="0" applyNumberFormat="1" applyFont="1" applyFill="1" applyBorder="1" applyAlignment="1"/>
    <xf numFmtId="3" fontId="17" fillId="0" borderId="35" xfId="0" applyNumberFormat="1" applyFont="1" applyFill="1" applyBorder="1" applyAlignment="1"/>
    <xf numFmtId="3" fontId="17" fillId="0" borderId="37" xfId="0" applyNumberFormat="1" applyFont="1" applyFill="1" applyBorder="1" applyAlignment="1"/>
    <xf numFmtId="3" fontId="17" fillId="0" borderId="19" xfId="0" applyNumberFormat="1" applyFont="1" applyFill="1" applyBorder="1" applyAlignment="1"/>
    <xf numFmtId="3" fontId="17" fillId="0" borderId="11" xfId="0" applyNumberFormat="1" applyFont="1" applyFill="1" applyBorder="1" applyAlignment="1"/>
    <xf numFmtId="3" fontId="17" fillId="0" borderId="35" xfId="0" applyNumberFormat="1" applyFont="1" applyBorder="1" applyAlignment="1"/>
    <xf numFmtId="3" fontId="17" fillId="0" borderId="12" xfId="0" applyNumberFormat="1" applyFont="1" applyBorder="1" applyAlignment="1"/>
    <xf numFmtId="3" fontId="1" fillId="9" borderId="2" xfId="0" applyNumberFormat="1" applyFont="1" applyFill="1" applyBorder="1" applyAlignment="1"/>
    <xf numFmtId="3" fontId="21" fillId="0" borderId="2" xfId="0" applyNumberFormat="1" applyFont="1" applyFill="1" applyBorder="1" applyAlignment="1"/>
    <xf numFmtId="3" fontId="21" fillId="0" borderId="12" xfId="0" applyNumberFormat="1" applyFont="1" applyFill="1" applyBorder="1" applyAlignment="1"/>
    <xf numFmtId="3" fontId="21" fillId="0" borderId="11" xfId="0" applyNumberFormat="1" applyFont="1" applyFill="1" applyBorder="1" applyAlignment="1"/>
    <xf numFmtId="3" fontId="21" fillId="0" borderId="35" xfId="0" applyNumberFormat="1" applyFont="1" applyFill="1" applyBorder="1" applyAlignment="1"/>
    <xf numFmtId="3" fontId="21" fillId="0" borderId="12" xfId="0" applyNumberFormat="1" applyFont="1" applyBorder="1" applyAlignment="1"/>
    <xf numFmtId="3" fontId="1" fillId="0" borderId="19" xfId="0" applyNumberFormat="1" applyFont="1" applyBorder="1" applyAlignment="1"/>
    <xf numFmtId="3" fontId="2" fillId="0" borderId="11" xfId="0" applyNumberFormat="1" applyFont="1" applyFill="1" applyBorder="1" applyAlignment="1"/>
    <xf numFmtId="3" fontId="2" fillId="0" borderId="35" xfId="0" applyNumberFormat="1" applyFont="1" applyFill="1" applyBorder="1" applyAlignment="1"/>
    <xf numFmtId="3" fontId="1" fillId="0" borderId="54" xfId="0" applyNumberFormat="1" applyFont="1" applyFill="1" applyBorder="1" applyAlignment="1"/>
    <xf numFmtId="3" fontId="16" fillId="0" borderId="2" xfId="0" applyNumberFormat="1" applyFont="1" applyFill="1" applyBorder="1" applyAlignment="1"/>
    <xf numFmtId="3" fontId="16" fillId="0" borderId="35" xfId="0" applyNumberFormat="1" applyFont="1" applyFill="1" applyBorder="1" applyAlignment="1"/>
    <xf numFmtId="3" fontId="1" fillId="0" borderId="59" xfId="0" applyNumberFormat="1" applyFont="1" applyFill="1" applyBorder="1" applyAlignment="1"/>
    <xf numFmtId="3" fontId="1" fillId="0" borderId="31" xfId="0" applyNumberFormat="1" applyFont="1" applyBorder="1" applyAlignment="1"/>
    <xf numFmtId="3" fontId="1" fillId="7" borderId="2" xfId="0" applyNumberFormat="1" applyFont="1" applyFill="1" applyBorder="1" applyAlignment="1"/>
    <xf numFmtId="3" fontId="1" fillId="7" borderId="12" xfId="0" applyNumberFormat="1" applyFont="1" applyFill="1" applyBorder="1" applyAlignment="1"/>
    <xf numFmtId="3" fontId="1" fillId="0" borderId="23" xfId="0" applyNumberFormat="1" applyFont="1" applyFill="1" applyBorder="1" applyAlignment="1"/>
    <xf numFmtId="4" fontId="1" fillId="0" borderId="2" xfId="0" applyNumberFormat="1" applyFont="1" applyFill="1" applyBorder="1" applyAlignment="1"/>
    <xf numFmtId="4" fontId="14" fillId="0" borderId="56" xfId="0" applyNumberFormat="1" applyFont="1" applyFill="1" applyBorder="1" applyAlignment="1"/>
    <xf numFmtId="4" fontId="8" fillId="7" borderId="11" xfId="0" applyNumberFormat="1" applyFont="1" applyFill="1" applyBorder="1" applyAlignment="1"/>
    <xf numFmtId="4" fontId="1" fillId="8" borderId="2" xfId="0" applyNumberFormat="1" applyFont="1" applyFill="1" applyBorder="1" applyAlignment="1"/>
    <xf numFmtId="4" fontId="11" fillId="8" borderId="2" xfId="0" applyNumberFormat="1" applyFont="1" applyFill="1" applyBorder="1" applyAlignment="1"/>
    <xf numFmtId="4" fontId="1" fillId="7" borderId="11" xfId="0" applyNumberFormat="1" applyFont="1" applyFill="1" applyBorder="1" applyAlignment="1"/>
    <xf numFmtId="4" fontId="1" fillId="0" borderId="11" xfId="0" applyNumberFormat="1" applyFont="1" applyFill="1" applyBorder="1" applyAlignment="1"/>
    <xf numFmtId="4" fontId="1" fillId="0" borderId="34" xfId="0" applyNumberFormat="1" applyFont="1" applyBorder="1" applyAlignment="1"/>
    <xf numFmtId="4" fontId="1" fillId="0" borderId="35" xfId="0" applyNumberFormat="1" applyFont="1" applyFill="1" applyBorder="1" applyAlignment="1"/>
    <xf numFmtId="4" fontId="1" fillId="0" borderId="2" xfId="0" applyNumberFormat="1" applyFont="1" applyBorder="1" applyAlignment="1"/>
    <xf numFmtId="4" fontId="1" fillId="0" borderId="11" xfId="0" applyNumberFormat="1" applyFont="1" applyBorder="1" applyAlignment="1"/>
    <xf numFmtId="4" fontId="1" fillId="0" borderId="37" xfId="0" applyNumberFormat="1" applyFont="1" applyFill="1" applyBorder="1" applyAlignment="1"/>
    <xf numFmtId="4" fontId="0" fillId="0" borderId="2" xfId="0" applyNumberFormat="1" applyBorder="1" applyAlignment="1"/>
    <xf numFmtId="4" fontId="19" fillId="0" borderId="11" xfId="0" applyNumberFormat="1" applyFont="1" applyFill="1" applyBorder="1" applyAlignment="1"/>
    <xf numFmtId="4" fontId="19" fillId="0" borderId="2" xfId="0" applyNumberFormat="1" applyFont="1" applyFill="1" applyBorder="1" applyAlignment="1"/>
    <xf numFmtId="4" fontId="1" fillId="0" borderId="56" xfId="0" applyNumberFormat="1" applyFont="1" applyFill="1" applyBorder="1" applyAlignment="1"/>
    <xf numFmtId="4" fontId="2" fillId="7" borderId="11" xfId="0" applyNumberFormat="1" applyFont="1" applyFill="1" applyBorder="1" applyAlignment="1"/>
    <xf numFmtId="4" fontId="11" fillId="0" borderId="11" xfId="0" applyNumberFormat="1" applyFont="1" applyFill="1" applyBorder="1" applyAlignment="1"/>
    <xf numFmtId="4" fontId="11" fillId="0" borderId="2" xfId="0" applyNumberFormat="1" applyFont="1" applyFill="1" applyBorder="1" applyAlignment="1"/>
    <xf numFmtId="4" fontId="17" fillId="0" borderId="11" xfId="0" applyNumberFormat="1" applyFont="1" applyFill="1" applyBorder="1" applyAlignment="1"/>
    <xf numFmtId="4" fontId="0" fillId="7" borderId="2" xfId="0" applyNumberFormat="1" applyFill="1" applyBorder="1" applyAlignment="1"/>
    <xf numFmtId="4" fontId="8" fillId="0" borderId="11" xfId="0" applyNumberFormat="1" applyFont="1" applyFill="1" applyBorder="1" applyAlignment="1"/>
    <xf numFmtId="4" fontId="11" fillId="0" borderId="2" xfId="0" applyNumberFormat="1" applyFont="1" applyBorder="1" applyAlignment="1"/>
    <xf numFmtId="4" fontId="0" fillId="0" borderId="2" xfId="0" applyNumberFormat="1" applyFill="1" applyBorder="1" applyAlignment="1"/>
    <xf numFmtId="4" fontId="1" fillId="0" borderId="59" xfId="0" applyNumberFormat="1" applyFont="1" applyFill="1" applyBorder="1" applyAlignment="1"/>
    <xf numFmtId="4" fontId="2" fillId="0" borderId="11" xfId="0" applyNumberFormat="1" applyFont="1" applyFill="1" applyBorder="1" applyAlignment="1"/>
    <xf numFmtId="4" fontId="11" fillId="7" borderId="2" xfId="0" applyNumberFormat="1" applyFont="1" applyFill="1" applyBorder="1" applyAlignment="1"/>
    <xf numFmtId="0" fontId="6" fillId="0" borderId="50" xfId="0" applyFont="1" applyFill="1" applyBorder="1" applyAlignment="1">
      <alignment horizontal="center"/>
    </xf>
    <xf numFmtId="0" fontId="6" fillId="0" borderId="60" xfId="0" applyFont="1" applyFill="1" applyBorder="1" applyAlignment="1"/>
    <xf numFmtId="0" fontId="15" fillId="0" borderId="2" xfId="0" applyFont="1" applyFill="1" applyBorder="1" applyAlignment="1">
      <alignment wrapText="1"/>
    </xf>
    <xf numFmtId="0" fontId="14" fillId="0" borderId="56" xfId="0" applyFont="1" applyFill="1" applyBorder="1" applyAlignment="1">
      <alignment horizontal="center"/>
    </xf>
    <xf numFmtId="49" fontId="8" fillId="7" borderId="2" xfId="0" applyNumberFormat="1" applyFont="1" applyFill="1" applyBorder="1" applyAlignment="1">
      <alignment horizontal="center" wrapText="1"/>
    </xf>
    <xf numFmtId="49" fontId="16" fillId="7" borderId="11" xfId="0" applyNumberFormat="1" applyFont="1" applyFill="1" applyBorder="1" applyAlignment="1">
      <alignment horizontal="left" wrapText="1"/>
    </xf>
    <xf numFmtId="49" fontId="8" fillId="7" borderId="11" xfId="0" applyNumberFormat="1" applyFont="1" applyFill="1" applyBorder="1" applyAlignment="1">
      <alignment horizontal="center" wrapText="1"/>
    </xf>
    <xf numFmtId="0" fontId="1" fillId="0" borderId="2" xfId="0" applyFont="1" applyBorder="1" applyAlignment="1">
      <alignment wrapText="1"/>
    </xf>
    <xf numFmtId="0" fontId="1" fillId="8" borderId="2" xfId="0" applyFont="1" applyFill="1" applyBorder="1" applyAlignment="1">
      <alignment horizontal="center" wrapText="1"/>
    </xf>
    <xf numFmtId="0" fontId="15" fillId="8" borderId="2" xfId="0" applyFont="1" applyFill="1" applyBorder="1" applyAlignment="1">
      <alignment wrapText="1"/>
    </xf>
    <xf numFmtId="0" fontId="1" fillId="8" borderId="2" xfId="0" applyFont="1" applyFill="1" applyBorder="1" applyAlignment="1">
      <alignment horizontal="left" wrapText="1"/>
    </xf>
    <xf numFmtId="0" fontId="11" fillId="8" borderId="2" xfId="0" applyFont="1" applyFill="1" applyBorder="1" applyAlignment="1">
      <alignment wrapText="1"/>
    </xf>
    <xf numFmtId="0" fontId="11" fillId="8" borderId="2" xfId="0" applyFont="1" applyFill="1" applyBorder="1" applyAlignment="1">
      <alignment horizontal="center"/>
    </xf>
    <xf numFmtId="0" fontId="1" fillId="8" borderId="2" xfId="0" applyFont="1" applyFill="1" applyBorder="1" applyAlignment="1">
      <alignment wrapText="1"/>
    </xf>
    <xf numFmtId="0" fontId="1" fillId="8" borderId="2" xfId="0" applyFont="1" applyFill="1" applyBorder="1" applyAlignment="1">
      <alignment horizontal="center"/>
    </xf>
    <xf numFmtId="0" fontId="2" fillId="7" borderId="2" xfId="0" applyFont="1" applyFill="1" applyBorder="1" applyAlignment="1">
      <alignment horizontal="center" wrapText="1"/>
    </xf>
    <xf numFmtId="0" fontId="16" fillId="7" borderId="34" xfId="0" applyFont="1" applyFill="1" applyBorder="1" applyAlignment="1">
      <alignment wrapText="1"/>
    </xf>
    <xf numFmtId="0" fontId="1" fillId="7" borderId="11" xfId="0" applyFont="1" applyFill="1" applyBorder="1" applyAlignment="1">
      <alignment horizontal="center" wrapText="1"/>
    </xf>
    <xf numFmtId="0" fontId="1" fillId="0" borderId="37" xfId="0" applyFont="1" applyFill="1" applyBorder="1" applyAlignment="1">
      <alignment horizontal="center" wrapText="1"/>
    </xf>
    <xf numFmtId="0" fontId="6" fillId="0" borderId="57" xfId="0" applyFont="1" applyFill="1" applyBorder="1" applyAlignment="1">
      <alignment horizontal="center"/>
    </xf>
    <xf numFmtId="0" fontId="6" fillId="0" borderId="64" xfId="0" applyFont="1" applyFill="1" applyBorder="1" applyAlignment="1"/>
    <xf numFmtId="0" fontId="14" fillId="0" borderId="20" xfId="0" applyFont="1" applyFill="1" applyBorder="1" applyAlignment="1">
      <alignment horizontal="center"/>
    </xf>
    <xf numFmtId="0" fontId="1" fillId="0" borderId="34" xfId="0" applyFont="1" applyBorder="1" applyAlignment="1">
      <alignment wrapText="1"/>
    </xf>
    <xf numFmtId="0" fontId="1" fillId="0" borderId="11" xfId="0" applyFont="1" applyBorder="1" applyAlignment="1">
      <alignment horizontal="center" wrapText="1"/>
    </xf>
    <xf numFmtId="0" fontId="1" fillId="0" borderId="2" xfId="0" applyFont="1" applyFill="1" applyBorder="1" applyAlignment="1">
      <alignment wrapText="1"/>
    </xf>
    <xf numFmtId="0" fontId="2" fillId="0" borderId="2" xfId="0" applyFont="1" applyFill="1" applyBorder="1" applyAlignment="1">
      <alignment horizontal="center" wrapText="1"/>
    </xf>
    <xf numFmtId="0" fontId="15" fillId="0" borderId="34" xfId="0" applyFont="1" applyBorder="1" applyAlignment="1">
      <alignment wrapText="1"/>
    </xf>
    <xf numFmtId="0" fontId="1" fillId="0" borderId="37" xfId="0" applyFont="1" applyFill="1" applyBorder="1" applyAlignment="1">
      <alignment wrapText="1"/>
    </xf>
    <xf numFmtId="0" fontId="19" fillId="0" borderId="34" xfId="0" applyFont="1" applyFill="1" applyBorder="1" applyAlignment="1">
      <alignment wrapText="1"/>
    </xf>
    <xf numFmtId="0" fontId="19" fillId="0" borderId="2" xfId="0" applyFont="1" applyFill="1" applyBorder="1" applyAlignment="1">
      <alignment horizontal="left" wrapText="1"/>
    </xf>
    <xf numFmtId="0" fontId="19" fillId="0" borderId="2" xfId="0" applyFont="1" applyFill="1" applyBorder="1" applyAlignment="1">
      <alignment wrapText="1"/>
    </xf>
    <xf numFmtId="0" fontId="1" fillId="0" borderId="2" xfId="0" applyFont="1" applyFill="1" applyBorder="1" applyAlignment="1">
      <alignment horizontal="left" wrapText="1"/>
    </xf>
    <xf numFmtId="0" fontId="15" fillId="0" borderId="34" xfId="0" applyFont="1" applyFill="1" applyBorder="1" applyAlignment="1">
      <alignment wrapText="1"/>
    </xf>
    <xf numFmtId="0" fontId="20" fillId="0" borderId="2" xfId="0" applyFont="1" applyFill="1" applyBorder="1" applyAlignment="1">
      <alignment horizontal="center" wrapText="1"/>
    </xf>
    <xf numFmtId="0" fontId="1" fillId="0" borderId="11" xfId="0" applyFont="1" applyFill="1" applyBorder="1" applyAlignment="1">
      <alignment horizontal="center" wrapText="1"/>
    </xf>
    <xf numFmtId="0" fontId="1" fillId="0" borderId="34" xfId="0" applyFont="1" applyFill="1" applyBorder="1" applyAlignment="1">
      <alignment horizontal="center" wrapText="1"/>
    </xf>
    <xf numFmtId="0" fontId="15" fillId="0" borderId="37" xfId="0" applyFont="1" applyFill="1" applyBorder="1" applyAlignment="1">
      <alignment wrapText="1"/>
    </xf>
    <xf numFmtId="0" fontId="1" fillId="0" borderId="34" xfId="0" applyFont="1" applyFill="1" applyBorder="1" applyAlignment="1">
      <alignment wrapText="1"/>
    </xf>
    <xf numFmtId="0" fontId="13" fillId="0" borderId="2" xfId="0" applyFont="1" applyFill="1" applyBorder="1" applyAlignment="1">
      <alignment horizontal="center" wrapText="1"/>
    </xf>
    <xf numFmtId="0" fontId="11" fillId="0" borderId="34" xfId="0" applyFont="1" applyFill="1" applyBorder="1" applyAlignment="1">
      <alignment wrapText="1"/>
    </xf>
    <xf numFmtId="0" fontId="11" fillId="0" borderId="11" xfId="0" applyFont="1" applyFill="1" applyBorder="1" applyAlignment="1">
      <alignment horizontal="center" wrapText="1"/>
    </xf>
    <xf numFmtId="0" fontId="11" fillId="0" borderId="2" xfId="0" applyFont="1" applyFill="1" applyBorder="1" applyAlignment="1">
      <alignment horizontal="left" wrapText="1"/>
    </xf>
    <xf numFmtId="0" fontId="15" fillId="0" borderId="2" xfId="0" applyFont="1" applyFill="1" applyBorder="1" applyAlignment="1">
      <alignment horizontal="left" wrapText="1"/>
    </xf>
    <xf numFmtId="0" fontId="17" fillId="0" borderId="2" xfId="0" applyFont="1" applyFill="1" applyBorder="1" applyAlignment="1">
      <alignment horizontal="center" wrapText="1"/>
    </xf>
    <xf numFmtId="0" fontId="17" fillId="0" borderId="11" xfId="0" applyFont="1" applyBorder="1" applyAlignment="1">
      <alignment horizontal="center" wrapText="1"/>
    </xf>
    <xf numFmtId="0" fontId="11" fillId="0" borderId="2" xfId="0" applyFont="1" applyFill="1" applyBorder="1" applyAlignment="1">
      <alignment wrapText="1"/>
    </xf>
    <xf numFmtId="0" fontId="11" fillId="0" borderId="34" xfId="0" applyFont="1" applyBorder="1" applyAlignment="1">
      <alignment wrapText="1"/>
    </xf>
    <xf numFmtId="0" fontId="1" fillId="0" borderId="50" xfId="0" applyFont="1" applyFill="1" applyBorder="1" applyAlignment="1">
      <alignment horizontal="center" wrapText="1"/>
    </xf>
    <xf numFmtId="0" fontId="1" fillId="0" borderId="60" xfId="0" applyFont="1" applyFill="1" applyBorder="1" applyAlignment="1">
      <alignment wrapText="1"/>
    </xf>
    <xf numFmtId="3" fontId="2" fillId="7" borderId="11" xfId="0" applyNumberFormat="1" applyFont="1" applyFill="1" applyBorder="1" applyAlignment="1">
      <alignment horizontal="center" wrapText="1"/>
    </xf>
    <xf numFmtId="0" fontId="21" fillId="0" borderId="2" xfId="0" applyFont="1" applyFill="1" applyBorder="1" applyAlignment="1">
      <alignment horizontal="center" wrapText="1"/>
    </xf>
    <xf numFmtId="0" fontId="22" fillId="0" borderId="2" xfId="0" applyFont="1" applyFill="1" applyBorder="1" applyAlignment="1">
      <alignment horizontal="center" wrapText="1"/>
    </xf>
    <xf numFmtId="49" fontId="23" fillId="7" borderId="2" xfId="0" applyNumberFormat="1" applyFont="1" applyFill="1" applyBorder="1" applyAlignment="1">
      <alignment horizontal="center" wrapText="1"/>
    </xf>
    <xf numFmtId="0" fontId="24" fillId="0" borderId="2" xfId="0" applyFont="1" applyFill="1" applyBorder="1" applyAlignment="1">
      <alignment horizontal="center" wrapText="1"/>
    </xf>
    <xf numFmtId="0" fontId="1" fillId="0" borderId="0" xfId="0" applyFont="1" applyFill="1" applyBorder="1" applyAlignment="1">
      <alignment horizontal="center" wrapText="1"/>
    </xf>
    <xf numFmtId="49" fontId="8" fillId="0" borderId="2" xfId="0" applyNumberFormat="1" applyFont="1" applyFill="1" applyBorder="1" applyAlignment="1">
      <alignment horizontal="center" wrapText="1"/>
    </xf>
    <xf numFmtId="49" fontId="16" fillId="0" borderId="11" xfId="0" applyNumberFormat="1" applyFont="1" applyFill="1" applyBorder="1" applyAlignment="1">
      <alignment horizontal="left" wrapText="1"/>
    </xf>
    <xf numFmtId="49" fontId="8" fillId="0" borderId="11" xfId="0" applyNumberFormat="1" applyFont="1" applyFill="1" applyBorder="1" applyAlignment="1">
      <alignment horizontal="center" wrapText="1"/>
    </xf>
    <xf numFmtId="0" fontId="15" fillId="0" borderId="2" xfId="2" applyFont="1" applyFill="1" applyBorder="1" applyAlignment="1">
      <alignment wrapText="1"/>
    </xf>
    <xf numFmtId="0" fontId="0" fillId="0" borderId="2" xfId="0" applyFill="1" applyBorder="1" applyAlignment="1">
      <alignment wrapText="1"/>
    </xf>
    <xf numFmtId="0" fontId="16" fillId="0" borderId="2" xfId="0" applyFont="1" applyFill="1" applyBorder="1" applyAlignment="1">
      <alignment horizontal="center" wrapText="1"/>
    </xf>
    <xf numFmtId="49" fontId="2" fillId="0" borderId="2" xfId="0" applyNumberFormat="1" applyFont="1" applyFill="1" applyBorder="1" applyAlignment="1">
      <alignment horizontal="center" wrapText="1"/>
    </xf>
    <xf numFmtId="0" fontId="1" fillId="7" borderId="2" xfId="0" applyFont="1" applyFill="1" applyBorder="1" applyAlignment="1">
      <alignment horizontal="center" wrapText="1"/>
    </xf>
    <xf numFmtId="0" fontId="1" fillId="0" borderId="2" xfId="0" applyFont="1" applyFill="1" applyBorder="1" applyAlignment="1">
      <alignment horizontal="justify" wrapText="1"/>
    </xf>
    <xf numFmtId="0" fontId="1" fillId="0" borderId="59" xfId="0" applyFont="1" applyFill="1" applyBorder="1" applyAlignment="1">
      <alignment horizontal="center" wrapText="1"/>
    </xf>
    <xf numFmtId="0" fontId="1" fillId="0" borderId="59" xfId="0" applyFont="1" applyFill="1" applyBorder="1" applyAlignment="1">
      <alignment wrapText="1"/>
    </xf>
    <xf numFmtId="49" fontId="1" fillId="0" borderId="11" xfId="0" applyNumberFormat="1" applyFont="1" applyFill="1" applyBorder="1" applyAlignment="1">
      <alignment horizontal="left" wrapText="1"/>
    </xf>
    <xf numFmtId="49" fontId="2" fillId="0" borderId="11" xfId="0" applyNumberFormat="1" applyFont="1" applyFill="1" applyBorder="1" applyAlignment="1">
      <alignment horizontal="center" wrapText="1"/>
    </xf>
    <xf numFmtId="0" fontId="14" fillId="7" borderId="2" xfId="0" applyFont="1" applyFill="1" applyBorder="1" applyAlignment="1">
      <alignment wrapText="1"/>
    </xf>
    <xf numFmtId="0" fontId="25" fillId="0" borderId="2" xfId="0" applyFont="1" applyFill="1" applyBorder="1" applyAlignment="1">
      <alignment horizontal="center" wrapText="1"/>
    </xf>
    <xf numFmtId="0" fontId="0" fillId="0" borderId="2" xfId="0" applyBorder="1" applyAlignment="1"/>
    <xf numFmtId="0" fontId="25" fillId="0" borderId="37" xfId="0" applyFont="1" applyFill="1" applyBorder="1" applyAlignment="1">
      <alignment horizontal="center" wrapText="1"/>
    </xf>
    <xf numFmtId="3" fontId="1" fillId="0" borderId="32" xfId="0" applyNumberFormat="1" applyFont="1" applyFill="1" applyBorder="1" applyAlignment="1"/>
    <xf numFmtId="4" fontId="1" fillId="0" borderId="50" xfId="0" applyNumberFormat="1" applyFont="1" applyFill="1" applyBorder="1" applyAlignment="1"/>
    <xf numFmtId="3" fontId="1" fillId="0" borderId="31" xfId="0" applyNumberFormat="1" applyFont="1" applyFill="1" applyBorder="1" applyAlignment="1"/>
    <xf numFmtId="0" fontId="26" fillId="0" borderId="2" xfId="0" applyFont="1" applyBorder="1" applyAlignment="1">
      <alignment vertical="top" wrapText="1"/>
    </xf>
    <xf numFmtId="4" fontId="1" fillId="0" borderId="2" xfId="0" applyNumberFormat="1" applyFont="1" applyFill="1" applyBorder="1" applyAlignment="1">
      <alignment horizontal="right" vertical="center" wrapText="1"/>
    </xf>
    <xf numFmtId="0" fontId="15" fillId="0" borderId="2" xfId="0" applyFont="1" applyFill="1" applyBorder="1" applyAlignment="1">
      <alignment vertical="center" wrapText="1"/>
    </xf>
    <xf numFmtId="0" fontId="1" fillId="0" borderId="2" xfId="0" applyFont="1" applyBorder="1"/>
    <xf numFmtId="0" fontId="1" fillId="9" borderId="2" xfId="0" applyFont="1" applyFill="1" applyBorder="1" applyAlignment="1">
      <alignment horizontal="center" vertical="center" wrapText="1"/>
    </xf>
    <xf numFmtId="4" fontId="1" fillId="9" borderId="2" xfId="0" applyNumberFormat="1" applyFont="1" applyFill="1" applyBorder="1" applyAlignment="1">
      <alignment vertical="center"/>
    </xf>
    <xf numFmtId="3" fontId="1" fillId="0" borderId="2" xfId="0" applyNumberFormat="1" applyFont="1" applyFill="1" applyBorder="1" applyAlignment="1">
      <alignment horizontal="right" vertical="center" wrapText="1"/>
    </xf>
    <xf numFmtId="0" fontId="1" fillId="9" borderId="2" xfId="0" applyFont="1" applyFill="1" applyBorder="1" applyAlignment="1">
      <alignment vertical="center" wrapText="1"/>
    </xf>
    <xf numFmtId="0" fontId="0" fillId="9" borderId="2" xfId="0" applyFill="1" applyBorder="1" applyAlignment="1">
      <alignment vertical="center" wrapText="1"/>
    </xf>
    <xf numFmtId="4" fontId="1" fillId="9" borderId="2" xfId="0" applyNumberFormat="1" applyFont="1" applyFill="1" applyBorder="1" applyAlignment="1">
      <alignment horizontal="right" vertical="center" wrapText="1"/>
    </xf>
    <xf numFmtId="0" fontId="1" fillId="0" borderId="56" xfId="0" applyFont="1" applyBorder="1" applyAlignment="1">
      <alignment horizontal="center"/>
    </xf>
    <xf numFmtId="4" fontId="1" fillId="0" borderId="56" xfId="0" applyNumberFormat="1" applyFont="1" applyBorder="1" applyAlignment="1">
      <alignment horizontal="right"/>
    </xf>
    <xf numFmtId="0" fontId="26" fillId="0" borderId="2" xfId="0" applyFont="1" applyFill="1" applyBorder="1" applyAlignment="1">
      <alignment vertical="center" wrapText="1"/>
    </xf>
    <xf numFmtId="49" fontId="2" fillId="0" borderId="11" xfId="0" applyNumberFormat="1" applyFont="1" applyFill="1" applyBorder="1" applyAlignment="1">
      <alignment horizontal="left" wrapText="1"/>
    </xf>
    <xf numFmtId="0" fontId="2" fillId="0" borderId="2" xfId="0" applyFont="1" applyFill="1" applyBorder="1" applyAlignment="1">
      <alignment wrapText="1"/>
    </xf>
    <xf numFmtId="0" fontId="25" fillId="0" borderId="2" xfId="0" applyFont="1" applyFill="1" applyBorder="1" applyAlignment="1">
      <alignment horizontal="center" vertical="top" wrapText="1"/>
    </xf>
    <xf numFmtId="49" fontId="1" fillId="0" borderId="2" xfId="0" applyNumberFormat="1"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1" fillId="0" borderId="59" xfId="0" applyFont="1" applyFill="1" applyBorder="1" applyAlignment="1">
      <alignment vertical="top" wrapText="1"/>
    </xf>
    <xf numFmtId="49" fontId="1" fillId="0" borderId="65" xfId="0" applyNumberFormat="1" applyFont="1" applyFill="1" applyBorder="1" applyAlignment="1">
      <alignment horizontal="center" vertical="center" wrapText="1"/>
    </xf>
    <xf numFmtId="0" fontId="25" fillId="0" borderId="37" xfId="0" applyFont="1" applyFill="1" applyBorder="1" applyAlignment="1">
      <alignment horizontal="center" vertical="top" wrapText="1"/>
    </xf>
    <xf numFmtId="0" fontId="1" fillId="0" borderId="37" xfId="0" applyFont="1" applyFill="1" applyBorder="1" applyAlignment="1">
      <alignment vertical="top" wrapText="1"/>
    </xf>
    <xf numFmtId="4" fontId="1" fillId="0" borderId="37" xfId="0" applyNumberFormat="1" applyFont="1" applyFill="1" applyBorder="1" applyAlignment="1">
      <alignment horizontal="center"/>
    </xf>
    <xf numFmtId="3" fontId="1" fillId="0" borderId="19" xfId="0" applyNumberFormat="1" applyFont="1" applyFill="1" applyBorder="1" applyAlignment="1"/>
    <xf numFmtId="0" fontId="2" fillId="0" borderId="63" xfId="0" applyFont="1" applyFill="1" applyBorder="1" applyAlignment="1">
      <alignment horizontal="center" vertical="top" wrapText="1"/>
    </xf>
    <xf numFmtId="0" fontId="2" fillId="0" borderId="20" xfId="0" applyFont="1" applyFill="1" applyBorder="1" applyAlignment="1">
      <alignment vertical="top" wrapText="1"/>
    </xf>
    <xf numFmtId="0" fontId="11" fillId="0" borderId="2" xfId="0" applyFont="1" applyFill="1" applyBorder="1" applyAlignment="1">
      <alignment vertical="top" wrapText="1"/>
    </xf>
    <xf numFmtId="0" fontId="0" fillId="0" borderId="2" xfId="0" applyFill="1" applyBorder="1"/>
    <xf numFmtId="0" fontId="0" fillId="0" borderId="2" xfId="0" applyFill="1" applyBorder="1" applyAlignment="1">
      <alignment vertical="center"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vertical="top" wrapText="1"/>
    </xf>
    <xf numFmtId="49" fontId="1" fillId="0" borderId="66" xfId="0" applyNumberFormat="1" applyFont="1" applyFill="1" applyBorder="1" applyAlignment="1">
      <alignment horizontal="center" vertical="top" wrapText="1"/>
    </xf>
    <xf numFmtId="49" fontId="1" fillId="0" borderId="50" xfId="0" applyNumberFormat="1" applyFont="1" applyFill="1" applyBorder="1" applyAlignment="1">
      <alignment horizontal="center" vertical="top" wrapText="1"/>
    </xf>
    <xf numFmtId="0" fontId="1" fillId="0" borderId="2" xfId="0" applyFont="1" applyFill="1" applyBorder="1" applyAlignment="1">
      <alignment vertical="center" wrapText="1"/>
    </xf>
    <xf numFmtId="49" fontId="1" fillId="0" borderId="67" xfId="0" applyNumberFormat="1" applyFont="1" applyFill="1" applyBorder="1" applyAlignment="1">
      <alignment horizontal="center" vertical="top" wrapText="1"/>
    </xf>
    <xf numFmtId="49" fontId="1" fillId="0" borderId="59" xfId="0" applyNumberFormat="1" applyFont="1" applyFill="1" applyBorder="1" applyAlignment="1">
      <alignment horizontal="center" vertical="top" wrapText="1"/>
    </xf>
    <xf numFmtId="0" fontId="2" fillId="0" borderId="57" xfId="0" applyFont="1" applyFill="1" applyBorder="1" applyAlignment="1">
      <alignment vertical="top" wrapText="1"/>
    </xf>
    <xf numFmtId="16" fontId="2" fillId="0" borderId="49" xfId="0" applyNumberFormat="1"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22" xfId="0" applyFont="1" applyBorder="1" applyAlignment="1">
      <alignment horizontal="left"/>
    </xf>
    <xf numFmtId="166" fontId="2" fillId="0" borderId="22" xfId="1" applyNumberFormat="1" applyFont="1" applyBorder="1" applyAlignment="1"/>
    <xf numFmtId="166" fontId="1" fillId="0" borderId="50" xfId="1" applyNumberFormat="1" applyFont="1" applyFill="1" applyBorder="1" applyAlignment="1">
      <alignment wrapText="1"/>
    </xf>
    <xf numFmtId="166" fontId="1" fillId="4" borderId="22" xfId="1" applyNumberFormat="1" applyFont="1" applyFill="1" applyBorder="1" applyAlignment="1"/>
    <xf numFmtId="166" fontId="1" fillId="0" borderId="20" xfId="1" applyNumberFormat="1" applyFont="1" applyFill="1" applyBorder="1" applyAlignment="1">
      <alignment wrapText="1"/>
    </xf>
    <xf numFmtId="166" fontId="0" fillId="0" borderId="2" xfId="1" applyNumberFormat="1" applyFont="1" applyFill="1" applyBorder="1" applyAlignment="1"/>
    <xf numFmtId="166" fontId="0" fillId="0" borderId="2" xfId="1" applyNumberFormat="1" applyFont="1" applyFill="1" applyBorder="1" applyAlignment="1">
      <alignment wrapText="1"/>
    </xf>
    <xf numFmtId="166" fontId="1" fillId="0" borderId="59" xfId="1" applyNumberFormat="1" applyFont="1" applyFill="1" applyBorder="1" applyAlignment="1">
      <alignment wrapText="1"/>
    </xf>
    <xf numFmtId="166" fontId="1" fillId="0" borderId="11" xfId="1" applyNumberFormat="1" applyFont="1" applyFill="1" applyBorder="1" applyAlignment="1">
      <alignment wrapText="1"/>
    </xf>
    <xf numFmtId="166" fontId="1" fillId="0" borderId="37" xfId="1" applyNumberFormat="1" applyFont="1" applyFill="1" applyBorder="1" applyAlignment="1">
      <alignment wrapText="1"/>
    </xf>
    <xf numFmtId="166" fontId="1" fillId="0" borderId="57" xfId="1" applyNumberFormat="1" applyFont="1" applyFill="1" applyBorder="1" applyAlignment="1">
      <alignment wrapText="1"/>
    </xf>
    <xf numFmtId="166" fontId="1" fillId="0" borderId="56" xfId="1" applyNumberFormat="1" applyFont="1" applyFill="1" applyBorder="1" applyAlignment="1">
      <alignment wrapText="1"/>
    </xf>
    <xf numFmtId="166" fontId="1" fillId="0" borderId="48" xfId="1" applyNumberFormat="1" applyFont="1" applyFill="1" applyBorder="1" applyAlignment="1">
      <alignment wrapText="1"/>
    </xf>
    <xf numFmtId="166" fontId="1" fillId="0" borderId="55" xfId="1" applyNumberFormat="1" applyFont="1" applyFill="1" applyBorder="1" applyAlignment="1">
      <alignment wrapText="1"/>
    </xf>
    <xf numFmtId="166" fontId="1" fillId="0" borderId="23" xfId="1" applyNumberFormat="1" applyFont="1" applyBorder="1" applyAlignment="1"/>
    <xf numFmtId="166" fontId="1" fillId="0" borderId="36" xfId="1" applyNumberFormat="1" applyFont="1" applyFill="1" applyBorder="1" applyAlignment="1"/>
    <xf numFmtId="166" fontId="12" fillId="4" borderId="23" xfId="1" applyNumberFormat="1" applyFont="1" applyFill="1" applyBorder="1" applyAlignment="1"/>
    <xf numFmtId="166" fontId="1" fillId="0" borderId="53" xfId="1" applyNumberFormat="1" applyFont="1" applyFill="1" applyBorder="1" applyAlignment="1">
      <alignment wrapText="1"/>
    </xf>
    <xf numFmtId="166" fontId="1" fillId="0" borderId="12" xfId="1" applyNumberFormat="1" applyFont="1" applyFill="1" applyBorder="1" applyAlignment="1">
      <alignment wrapText="1"/>
    </xf>
    <xf numFmtId="166" fontId="11" fillId="0" borderId="2" xfId="1" applyNumberFormat="1" applyFont="1" applyFill="1" applyBorder="1" applyAlignment="1">
      <alignment wrapText="1"/>
    </xf>
    <xf numFmtId="166" fontId="11" fillId="0" borderId="12" xfId="1" applyNumberFormat="1" applyFont="1" applyFill="1" applyBorder="1" applyAlignment="1">
      <alignment wrapText="1"/>
    </xf>
    <xf numFmtId="166" fontId="0" fillId="0" borderId="12" xfId="1" applyNumberFormat="1" applyFont="1" applyFill="1" applyBorder="1" applyAlignment="1"/>
    <xf numFmtId="166" fontId="11" fillId="0" borderId="59" xfId="1" applyNumberFormat="1" applyFont="1" applyFill="1" applyBorder="1" applyAlignment="1">
      <alignment wrapText="1"/>
    </xf>
    <xf numFmtId="166" fontId="11" fillId="0" borderId="31" xfId="1" applyNumberFormat="1" applyFont="1" applyFill="1" applyBorder="1" applyAlignment="1">
      <alignment wrapText="1"/>
    </xf>
    <xf numFmtId="166" fontId="1" fillId="0" borderId="35" xfId="1" applyNumberFormat="1" applyFont="1" applyFill="1" applyBorder="1" applyAlignment="1">
      <alignment wrapText="1"/>
    </xf>
    <xf numFmtId="166" fontId="1" fillId="0" borderId="2" xfId="1" applyNumberFormat="1" applyFont="1" applyFill="1" applyBorder="1" applyAlignment="1"/>
    <xf numFmtId="166" fontId="1" fillId="0" borderId="12" xfId="1" applyNumberFormat="1" applyFont="1" applyFill="1" applyBorder="1" applyAlignment="1"/>
    <xf numFmtId="166" fontId="1" fillId="0" borderId="37" xfId="1" applyNumberFormat="1" applyFont="1" applyFill="1" applyBorder="1" applyAlignment="1"/>
    <xf numFmtId="166" fontId="1" fillId="0" borderId="19" xfId="1" applyNumberFormat="1" applyFont="1" applyFill="1" applyBorder="1" applyAlignment="1"/>
    <xf numFmtId="166" fontId="1" fillId="0" borderId="59" xfId="1" applyNumberFormat="1" applyFont="1" applyFill="1" applyBorder="1" applyAlignment="1"/>
    <xf numFmtId="166" fontId="1" fillId="0" borderId="31" xfId="1" applyNumberFormat="1" applyFont="1" applyFill="1" applyBorder="1" applyAlignment="1"/>
    <xf numFmtId="166" fontId="1" fillId="0" borderId="30" xfId="1" applyNumberFormat="1" applyFont="1" applyFill="1" applyBorder="1" applyAlignment="1">
      <alignment wrapText="1"/>
    </xf>
    <xf numFmtId="166" fontId="1" fillId="0" borderId="36" xfId="1" applyNumberFormat="1" applyFont="1" applyFill="1" applyBorder="1" applyAlignment="1">
      <alignment wrapText="1"/>
    </xf>
    <xf numFmtId="0" fontId="2" fillId="0" borderId="22" xfId="0" applyFont="1" applyBorder="1" applyAlignment="1">
      <alignment horizontal="center"/>
    </xf>
    <xf numFmtId="0" fontId="1" fillId="0" borderId="20" xfId="0" applyFont="1" applyFill="1" applyBorder="1" applyAlignment="1">
      <alignment horizontal="center" wrapText="1"/>
    </xf>
    <xf numFmtId="0" fontId="0" fillId="0" borderId="2" xfId="0" applyFill="1" applyBorder="1" applyAlignment="1">
      <alignment horizontal="center" wrapText="1"/>
    </xf>
    <xf numFmtId="0" fontId="0" fillId="0" borderId="2" xfId="0" applyFill="1" applyBorder="1" applyAlignment="1">
      <alignment horizontal="center"/>
    </xf>
    <xf numFmtId="0" fontId="1" fillId="0" borderId="2" xfId="0" applyFont="1" applyFill="1" applyBorder="1" applyAlignment="1">
      <alignment horizontal="center"/>
    </xf>
    <xf numFmtId="0" fontId="1" fillId="0" borderId="37" xfId="0" applyFont="1" applyFill="1" applyBorder="1" applyAlignment="1">
      <alignment horizontal="center"/>
    </xf>
    <xf numFmtId="0" fontId="1" fillId="0" borderId="59" xfId="0" applyFont="1" applyFill="1" applyBorder="1" applyAlignment="1">
      <alignment horizontal="center"/>
    </xf>
    <xf numFmtId="0" fontId="1" fillId="0" borderId="56" xfId="0" applyFont="1" applyFill="1" applyBorder="1" applyAlignment="1">
      <alignment horizontal="center" wrapText="1"/>
    </xf>
    <xf numFmtId="0" fontId="1" fillId="0" borderId="57" xfId="0" applyFont="1" applyFill="1" applyBorder="1" applyAlignment="1">
      <alignment horizontal="center" wrapText="1"/>
    </xf>
    <xf numFmtId="0" fontId="1" fillId="0" borderId="2" xfId="0" applyFont="1" applyFill="1" applyBorder="1" applyAlignment="1">
      <alignment vertical="top" wrapText="1"/>
    </xf>
    <xf numFmtId="166" fontId="1" fillId="0" borderId="2" xfId="1" applyNumberFormat="1" applyFont="1" applyFill="1" applyBorder="1" applyAlignment="1">
      <alignment wrapText="1"/>
    </xf>
    <xf numFmtId="0" fontId="11" fillId="0" borderId="50" xfId="0" applyFont="1" applyFill="1" applyBorder="1" applyAlignment="1">
      <alignment horizontal="center" wrapText="1"/>
    </xf>
    <xf numFmtId="0" fontId="1" fillId="0" borderId="41" xfId="0" applyFont="1" applyFill="1" applyBorder="1" applyAlignment="1">
      <alignment vertical="top" wrapText="1"/>
    </xf>
    <xf numFmtId="0" fontId="11" fillId="0" borderId="41" xfId="0" applyFont="1" applyFill="1" applyBorder="1" applyAlignment="1">
      <alignment horizontal="center" wrapText="1"/>
    </xf>
    <xf numFmtId="166" fontId="1" fillId="0" borderId="41" xfId="1" applyNumberFormat="1" applyFont="1" applyFill="1" applyBorder="1" applyAlignment="1">
      <alignment wrapText="1"/>
    </xf>
    <xf numFmtId="4" fontId="1" fillId="0" borderId="2" xfId="0" applyNumberFormat="1" applyFont="1" applyFill="1" applyBorder="1" applyAlignment="1">
      <alignment vertical="top" wrapText="1"/>
    </xf>
    <xf numFmtId="49" fontId="1" fillId="7" borderId="49" xfId="0" applyNumberFormat="1" applyFont="1" applyFill="1" applyBorder="1" applyAlignment="1">
      <alignment horizontal="center" vertical="top" wrapText="1"/>
    </xf>
    <xf numFmtId="0" fontId="1" fillId="7" borderId="50" xfId="0" applyFont="1" applyFill="1" applyBorder="1" applyAlignment="1">
      <alignment horizontal="center" wrapText="1"/>
    </xf>
    <xf numFmtId="0" fontId="16" fillId="7" borderId="60" xfId="0" applyFont="1" applyFill="1" applyBorder="1" applyAlignment="1">
      <alignment wrapText="1"/>
    </xf>
    <xf numFmtId="0" fontId="1" fillId="7" borderId="56" xfId="0" applyFont="1" applyFill="1" applyBorder="1" applyAlignment="1">
      <alignment horizontal="center" wrapText="1"/>
    </xf>
    <xf numFmtId="4" fontId="1" fillId="7" borderId="56" xfId="0" applyNumberFormat="1" applyFont="1" applyFill="1" applyBorder="1" applyAlignment="1"/>
    <xf numFmtId="3" fontId="1" fillId="7" borderId="56" xfId="0" applyNumberFormat="1" applyFont="1" applyFill="1" applyBorder="1" applyAlignment="1"/>
    <xf numFmtId="3" fontId="1" fillId="7" borderId="36" xfId="0" applyNumberFormat="1" applyFont="1" applyFill="1" applyBorder="1" applyAlignment="1"/>
    <xf numFmtId="49" fontId="6" fillId="0" borderId="68" xfId="0" applyNumberFormat="1" applyFont="1" applyFill="1" applyBorder="1" applyAlignment="1">
      <alignment horizontal="center" vertical="top"/>
    </xf>
    <xf numFmtId="0" fontId="6" fillId="0" borderId="69" xfId="0" applyFont="1" applyFill="1" applyBorder="1" applyAlignment="1">
      <alignment horizontal="center"/>
    </xf>
    <xf numFmtId="0" fontId="6" fillId="0" borderId="70" xfId="0" applyFont="1" applyFill="1" applyBorder="1" applyAlignment="1"/>
    <xf numFmtId="0" fontId="14" fillId="0" borderId="22" xfId="0" applyFont="1" applyFill="1" applyBorder="1" applyAlignment="1">
      <alignment horizontal="center"/>
    </xf>
    <xf numFmtId="4" fontId="14" fillId="0" borderId="22" xfId="0" applyNumberFormat="1" applyFont="1" applyFill="1" applyBorder="1" applyAlignment="1"/>
    <xf numFmtId="3" fontId="14" fillId="0" borderId="22" xfId="0" applyNumberFormat="1" applyFont="1" applyFill="1" applyBorder="1" applyAlignment="1"/>
    <xf numFmtId="3" fontId="14" fillId="0" borderId="23" xfId="0" applyNumberFormat="1" applyFont="1" applyFill="1" applyBorder="1" applyAlignment="1"/>
    <xf numFmtId="49" fontId="16" fillId="7" borderId="49" xfId="0" applyNumberFormat="1" applyFont="1" applyFill="1" applyBorder="1" applyAlignment="1">
      <alignment horizontal="center" vertical="center" wrapText="1"/>
    </xf>
    <xf numFmtId="49" fontId="8" fillId="7" borderId="50" xfId="0" applyNumberFormat="1" applyFont="1" applyFill="1" applyBorder="1" applyAlignment="1">
      <alignment horizontal="center" wrapText="1"/>
    </xf>
    <xf numFmtId="49" fontId="16" fillId="7" borderId="56" xfId="0" applyNumberFormat="1" applyFont="1" applyFill="1" applyBorder="1" applyAlignment="1">
      <alignment horizontal="left" wrapText="1"/>
    </xf>
    <xf numFmtId="49" fontId="8" fillId="7" borderId="56" xfId="0" applyNumberFormat="1" applyFont="1" applyFill="1" applyBorder="1" applyAlignment="1">
      <alignment horizontal="center" wrapText="1"/>
    </xf>
    <xf numFmtId="4" fontId="8" fillId="7" borderId="56" xfId="0" applyNumberFormat="1" applyFont="1" applyFill="1" applyBorder="1" applyAlignment="1"/>
    <xf numFmtId="3" fontId="2" fillId="7" borderId="56" xfId="0" applyNumberFormat="1" applyFont="1" applyFill="1" applyBorder="1" applyAlignment="1"/>
    <xf numFmtId="3" fontId="2" fillId="7" borderId="36" xfId="0" applyNumberFormat="1" applyFont="1" applyFill="1" applyBorder="1" applyAlignment="1"/>
    <xf numFmtId="3" fontId="1" fillId="0" borderId="22" xfId="0" applyNumberFormat="1" applyFont="1" applyFill="1" applyBorder="1" applyAlignment="1"/>
    <xf numFmtId="4" fontId="1" fillId="7" borderId="50" xfId="0" applyNumberFormat="1" applyFont="1" applyFill="1" applyBorder="1" applyAlignment="1"/>
    <xf numFmtId="4" fontId="1" fillId="0" borderId="69" xfId="0" applyNumberFormat="1" applyFont="1" applyFill="1" applyBorder="1" applyAlignment="1"/>
    <xf numFmtId="3" fontId="17" fillId="0" borderId="22" xfId="0" applyNumberFormat="1" applyFont="1" applyFill="1" applyBorder="1" applyAlignment="1"/>
    <xf numFmtId="3" fontId="17" fillId="0" borderId="23" xfId="0" applyNumberFormat="1" applyFont="1" applyFill="1" applyBorder="1" applyAlignment="1"/>
    <xf numFmtId="49" fontId="16" fillId="0" borderId="49" xfId="0" applyNumberFormat="1" applyFont="1" applyFill="1" applyBorder="1" applyAlignment="1">
      <alignment horizontal="center" vertical="center" wrapText="1"/>
    </xf>
    <xf numFmtId="49" fontId="8" fillId="0" borderId="50" xfId="0" applyNumberFormat="1" applyFont="1" applyFill="1" applyBorder="1" applyAlignment="1">
      <alignment horizontal="center" wrapText="1"/>
    </xf>
    <xf numFmtId="49" fontId="16" fillId="0" borderId="56" xfId="0" applyNumberFormat="1" applyFont="1" applyFill="1" applyBorder="1" applyAlignment="1">
      <alignment horizontal="left" wrapText="1"/>
    </xf>
    <xf numFmtId="49" fontId="8" fillId="0" borderId="56" xfId="0" applyNumberFormat="1" applyFont="1" applyFill="1" applyBorder="1" applyAlignment="1">
      <alignment horizontal="center" wrapText="1"/>
    </xf>
    <xf numFmtId="4" fontId="8" fillId="0" borderId="56" xfId="0" applyNumberFormat="1" applyFont="1" applyFill="1" applyBorder="1" applyAlignment="1"/>
    <xf numFmtId="3" fontId="2" fillId="0" borderId="56" xfId="0" applyNumberFormat="1" applyFont="1" applyFill="1" applyBorder="1" applyAlignment="1"/>
    <xf numFmtId="3" fontId="2" fillId="0" borderId="36" xfId="0" applyNumberFormat="1" applyFont="1" applyFill="1" applyBorder="1" applyAlignment="1"/>
    <xf numFmtId="0" fontId="2" fillId="7" borderId="50" xfId="0" applyFont="1" applyFill="1" applyBorder="1" applyAlignment="1">
      <alignment horizontal="center" wrapText="1"/>
    </xf>
    <xf numFmtId="0" fontId="1" fillId="0" borderId="50" xfId="0" applyFont="1" applyFill="1" applyBorder="1" applyAlignment="1">
      <alignment wrapText="1"/>
    </xf>
    <xf numFmtId="3" fontId="1" fillId="0" borderId="50" xfId="0" applyNumberFormat="1" applyFont="1" applyFill="1" applyBorder="1" applyAlignment="1"/>
    <xf numFmtId="0" fontId="25" fillId="0" borderId="50" xfId="0" applyFont="1" applyFill="1" applyBorder="1" applyAlignment="1">
      <alignment horizontal="center" vertical="top" wrapText="1"/>
    </xf>
    <xf numFmtId="3" fontId="1" fillId="0" borderId="55" xfId="0" applyNumberFormat="1" applyFont="1" applyFill="1" applyBorder="1" applyAlignment="1"/>
    <xf numFmtId="49" fontId="14" fillId="7" borderId="49" xfId="0" applyNumberFormat="1" applyFont="1" applyFill="1" applyBorder="1" applyAlignment="1">
      <alignment horizontal="center" vertical="top" wrapText="1"/>
    </xf>
    <xf numFmtId="0" fontId="14" fillId="7" borderId="50" xfId="0" applyFont="1" applyFill="1" applyBorder="1" applyAlignment="1">
      <alignment wrapText="1"/>
    </xf>
    <xf numFmtId="4" fontId="11" fillId="7" borderId="50" xfId="0" applyNumberFormat="1" applyFont="1" applyFill="1" applyBorder="1" applyAlignment="1"/>
    <xf numFmtId="3" fontId="1" fillId="7" borderId="50" xfId="0" applyNumberFormat="1" applyFont="1" applyFill="1" applyBorder="1" applyAlignment="1"/>
    <xf numFmtId="3" fontId="1" fillId="7" borderId="55" xfId="0" applyNumberFormat="1" applyFont="1" applyFill="1" applyBorder="1" applyAlignment="1"/>
    <xf numFmtId="4" fontId="1" fillId="0" borderId="2" xfId="0" applyNumberFormat="1" applyFont="1" applyFill="1" applyBorder="1" applyAlignment="1">
      <alignment vertical="top"/>
    </xf>
    <xf numFmtId="0" fontId="2" fillId="0" borderId="60" xfId="0" applyFont="1" applyBorder="1" applyAlignment="1">
      <alignment vertical="top" wrapText="1"/>
    </xf>
    <xf numFmtId="0" fontId="6" fillId="0" borderId="60" xfId="0" applyFont="1" applyBorder="1" applyAlignment="1">
      <alignment vertical="top" wrapText="1"/>
    </xf>
    <xf numFmtId="4" fontId="1" fillId="0" borderId="2" xfId="0" applyNumberFormat="1" applyFont="1" applyBorder="1" applyAlignment="1">
      <alignment horizontal="right" vertical="center" wrapText="1"/>
    </xf>
    <xf numFmtId="0" fontId="16" fillId="0" borderId="2" xfId="0" applyFont="1" applyBorder="1" applyAlignment="1">
      <alignment horizontal="center" wrapText="1"/>
    </xf>
    <xf numFmtId="0" fontId="15" fillId="0" borderId="2" xfId="0" applyFont="1" applyBorder="1" applyAlignment="1">
      <alignment vertical="center" wrapText="1"/>
    </xf>
    <xf numFmtId="0" fontId="1" fillId="0" borderId="2" xfId="0" applyFont="1" applyBorder="1" applyAlignment="1">
      <alignment horizontal="center" vertical="center" wrapText="1"/>
    </xf>
    <xf numFmtId="3" fontId="16" fillId="0" borderId="2" xfId="0" applyNumberFormat="1" applyFont="1" applyBorder="1"/>
    <xf numFmtId="3" fontId="16" fillId="0" borderId="35" xfId="0" applyNumberFormat="1" applyFont="1" applyBorder="1"/>
    <xf numFmtId="0" fontId="26" fillId="0" borderId="2" xfId="0" applyFont="1" applyBorder="1" applyAlignment="1">
      <alignment vertical="center" wrapText="1"/>
    </xf>
    <xf numFmtId="3" fontId="1" fillId="0" borderId="2" xfId="0" applyNumberFormat="1" applyFont="1" applyBorder="1" applyAlignment="1">
      <alignment horizontal="right" vertical="center" wrapText="1"/>
    </xf>
    <xf numFmtId="3" fontId="16" fillId="0" borderId="2" xfId="0" applyNumberFormat="1" applyFont="1" applyFill="1" applyBorder="1"/>
    <xf numFmtId="3" fontId="16" fillId="0" borderId="35" xfId="0" applyNumberFormat="1" applyFont="1" applyFill="1" applyBorder="1"/>
    <xf numFmtId="3" fontId="16" fillId="0" borderId="11" xfId="0" applyNumberFormat="1" applyFont="1" applyFill="1" applyBorder="1" applyAlignment="1"/>
    <xf numFmtId="4" fontId="1" fillId="0" borderId="48" xfId="0" applyNumberFormat="1" applyFont="1" applyBorder="1" applyAlignment="1">
      <alignment horizontal="right" vertical="center" wrapText="1"/>
    </xf>
    <xf numFmtId="0" fontId="1" fillId="0" borderId="2" xfId="0" applyFont="1" applyBorder="1" applyAlignment="1">
      <alignment vertical="center" wrapText="1"/>
    </xf>
    <xf numFmtId="0" fontId="1" fillId="0" borderId="23" xfId="0" applyFont="1" applyBorder="1" applyAlignment="1">
      <alignment horizontal="left"/>
    </xf>
    <xf numFmtId="166" fontId="1" fillId="0" borderId="23" xfId="1" applyNumberFormat="1" applyFont="1" applyFill="1" applyBorder="1"/>
    <xf numFmtId="0" fontId="0" fillId="0" borderId="11" xfId="0" applyFill="1" applyBorder="1"/>
    <xf numFmtId="0" fontId="0" fillId="0" borderId="11" xfId="0" applyFill="1" applyBorder="1" applyAlignment="1">
      <alignment vertical="center" wrapText="1"/>
    </xf>
    <xf numFmtId="0" fontId="0" fillId="0" borderId="11" xfId="0" applyFill="1" applyBorder="1" applyAlignment="1">
      <alignment horizontal="center"/>
    </xf>
    <xf numFmtId="166" fontId="0" fillId="0" borderId="11" xfId="1" applyNumberFormat="1" applyFont="1" applyFill="1" applyBorder="1" applyAlignment="1"/>
    <xf numFmtId="0" fontId="1" fillId="0" borderId="37" xfId="0" applyFont="1" applyFill="1" applyBorder="1" applyAlignment="1">
      <alignment vertical="center" wrapText="1"/>
    </xf>
    <xf numFmtId="49" fontId="1" fillId="0" borderId="46" xfId="0" applyNumberFormat="1" applyFont="1" applyFill="1" applyBorder="1" applyAlignment="1">
      <alignment horizontal="center" vertical="top" wrapText="1"/>
    </xf>
    <xf numFmtId="0" fontId="0" fillId="0" borderId="37" xfId="0" applyFill="1" applyBorder="1"/>
    <xf numFmtId="0" fontId="0" fillId="0" borderId="37" xfId="0" applyFill="1" applyBorder="1" applyAlignment="1">
      <alignment vertical="center" wrapText="1"/>
    </xf>
    <xf numFmtId="0" fontId="0" fillId="0" borderId="37" xfId="0" applyFill="1" applyBorder="1" applyAlignment="1">
      <alignment horizontal="center"/>
    </xf>
    <xf numFmtId="166" fontId="0" fillId="0" borderId="37" xfId="1" applyNumberFormat="1" applyFont="1" applyFill="1" applyBorder="1" applyAlignment="1"/>
    <xf numFmtId="166" fontId="0" fillId="0" borderId="19" xfId="1" applyNumberFormat="1" applyFont="1" applyFill="1" applyBorder="1" applyAlignment="1"/>
    <xf numFmtId="0" fontId="0" fillId="0" borderId="37" xfId="0" applyFill="1" applyBorder="1" applyAlignment="1">
      <alignment horizontal="center" wrapText="1"/>
    </xf>
    <xf numFmtId="166" fontId="0" fillId="0" borderId="37" xfId="1" applyNumberFormat="1" applyFont="1" applyFill="1" applyBorder="1" applyAlignment="1">
      <alignment wrapText="1"/>
    </xf>
    <xf numFmtId="0" fontId="0" fillId="0" borderId="67" xfId="0" applyFill="1" applyBorder="1"/>
    <xf numFmtId="49" fontId="1" fillId="0" borderId="65" xfId="0" applyNumberFormat="1" applyFont="1" applyFill="1" applyBorder="1" applyAlignment="1">
      <alignment horizontal="center" vertical="top" wrapText="1"/>
    </xf>
    <xf numFmtId="0" fontId="1" fillId="0" borderId="38" xfId="0" applyFont="1" applyBorder="1" applyAlignment="1">
      <alignment horizontal="center" vertical="top" wrapText="1"/>
    </xf>
    <xf numFmtId="166" fontId="0" fillId="0" borderId="35" xfId="1" applyNumberFormat="1" applyFont="1" applyFill="1" applyBorder="1" applyAlignment="1"/>
    <xf numFmtId="49" fontId="1" fillId="0" borderId="58" xfId="0" applyNumberFormat="1" applyFont="1" applyFill="1" applyBorder="1" applyAlignment="1">
      <alignment horizontal="center" vertical="top" wrapText="1"/>
    </xf>
    <xf numFmtId="0" fontId="1" fillId="0" borderId="7" xfId="0" applyFont="1" applyFill="1" applyBorder="1" applyAlignment="1">
      <alignment horizontal="center" vertical="top" wrapText="1"/>
    </xf>
    <xf numFmtId="0" fontId="11" fillId="0" borderId="45" xfId="0" applyFont="1" applyFill="1" applyBorder="1" applyAlignment="1">
      <alignment vertical="top" wrapText="1"/>
    </xf>
    <xf numFmtId="0" fontId="11" fillId="0" borderId="45" xfId="0" applyFont="1" applyFill="1" applyBorder="1" applyAlignment="1">
      <alignment horizontal="center" wrapText="1"/>
    </xf>
    <xf numFmtId="166" fontId="1" fillId="0" borderId="45" xfId="1" applyNumberFormat="1" applyFont="1" applyFill="1" applyBorder="1" applyAlignment="1">
      <alignment wrapText="1"/>
    </xf>
    <xf numFmtId="166" fontId="1" fillId="0" borderId="8" xfId="1" applyNumberFormat="1" applyFont="1" applyFill="1" applyBorder="1" applyAlignment="1">
      <alignment wrapText="1"/>
    </xf>
    <xf numFmtId="49" fontId="2" fillId="0" borderId="0" xfId="0" applyNumberFormat="1" applyFont="1" applyBorder="1" applyAlignment="1">
      <alignment horizontal="left" vertical="top" wrapText="1"/>
    </xf>
    <xf numFmtId="0" fontId="2" fillId="0" borderId="0" xfId="0" applyFont="1" applyBorder="1" applyAlignment="1">
      <alignment horizontal="left"/>
    </xf>
    <xf numFmtId="0" fontId="1" fillId="0" borderId="0" xfId="0" applyFont="1" applyAlignment="1">
      <alignment horizontal="centerContinuous"/>
    </xf>
    <xf numFmtId="0" fontId="7" fillId="0" borderId="0" xfId="0" applyFont="1" applyAlignment="1">
      <alignment horizontal="centerContinuous"/>
    </xf>
    <xf numFmtId="0" fontId="1" fillId="0" borderId="0" xfId="0" applyNumberFormat="1" applyFont="1" applyAlignment="1" applyProtection="1">
      <alignment horizontal="centerContinuous" vertical="center" wrapText="1"/>
      <protection locked="0"/>
    </xf>
    <xf numFmtId="0" fontId="1" fillId="0" borderId="0" xfId="0" applyFont="1" applyAlignment="1">
      <alignment horizontal="centerContinuous" vertical="center" wrapText="1"/>
    </xf>
    <xf numFmtId="165" fontId="1" fillId="0" borderId="0" xfId="0" applyNumberFormat="1" applyFont="1" applyAlignment="1">
      <alignment horizontal="centerContinuous" vertical="center" wrapText="1"/>
    </xf>
    <xf numFmtId="39" fontId="1" fillId="0" borderId="0" xfId="0" applyNumberFormat="1" applyFont="1" applyAlignment="1">
      <alignment horizontal="centerContinuous" vertical="center" wrapText="1"/>
    </xf>
    <xf numFmtId="0" fontId="1" fillId="5" borderId="22" xfId="0" applyFont="1" applyFill="1" applyBorder="1" applyAlignment="1">
      <alignment horizontal="centerContinuous"/>
    </xf>
    <xf numFmtId="165" fontId="1" fillId="5" borderId="22" xfId="0" applyNumberFormat="1" applyFont="1" applyFill="1" applyBorder="1" applyAlignment="1">
      <alignment horizontal="centerContinuous"/>
    </xf>
    <xf numFmtId="39" fontId="1" fillId="5" borderId="22" xfId="0" applyNumberFormat="1" applyFont="1" applyFill="1" applyBorder="1" applyAlignment="1">
      <alignment horizontal="centerContinuous"/>
    </xf>
    <xf numFmtId="39" fontId="1" fillId="5" borderId="23" xfId="0" applyNumberFormat="1" applyFont="1" applyFill="1" applyBorder="1" applyAlignment="1">
      <alignment horizontal="centerContinuous"/>
    </xf>
    <xf numFmtId="0" fontId="1" fillId="0" borderId="0" xfId="0" applyNumberFormat="1" applyFont="1" applyFill="1" applyBorder="1" applyAlignment="1" applyProtection="1">
      <alignment horizontal="centerContinuous" vertical="center" wrapText="1"/>
      <protection locked="0"/>
    </xf>
    <xf numFmtId="0" fontId="1" fillId="0" borderId="0" xfId="0" applyFont="1" applyFill="1" applyBorder="1"/>
    <xf numFmtId="0" fontId="1" fillId="0" borderId="0" xfId="0" applyFont="1" applyFill="1" applyBorder="1" applyAlignment="1">
      <alignment horizontal="centerContinuous" vertical="center" wrapText="1"/>
    </xf>
    <xf numFmtId="165" fontId="1" fillId="0" borderId="0" xfId="0" applyNumberFormat="1" applyFont="1" applyFill="1" applyBorder="1" applyAlignment="1">
      <alignment horizontal="centerContinuous" vertical="center" wrapText="1"/>
    </xf>
    <xf numFmtId="39" fontId="1" fillId="0" borderId="0" xfId="0" applyNumberFormat="1" applyFont="1" applyFill="1" applyBorder="1" applyAlignment="1">
      <alignment horizontal="centerContinuous" vertical="center" wrapText="1"/>
    </xf>
    <xf numFmtId="0" fontId="1" fillId="6" borderId="22" xfId="0" applyFont="1" applyFill="1" applyBorder="1" applyAlignment="1">
      <alignment horizontal="centerContinuous"/>
    </xf>
    <xf numFmtId="165" fontId="1" fillId="6" borderId="22" xfId="0" applyNumberFormat="1" applyFont="1" applyFill="1" applyBorder="1" applyAlignment="1">
      <alignment horizontal="centerContinuous"/>
    </xf>
    <xf numFmtId="39" fontId="1" fillId="6" borderId="22" xfId="0" applyNumberFormat="1" applyFont="1" applyFill="1" applyBorder="1" applyAlignment="1">
      <alignment horizontal="centerContinuous"/>
    </xf>
    <xf numFmtId="39" fontId="1" fillId="6" borderId="23" xfId="0" applyNumberFormat="1" applyFont="1" applyFill="1" applyBorder="1" applyAlignment="1">
      <alignment horizontal="centerContinuous"/>
    </xf>
    <xf numFmtId="0" fontId="1" fillId="0" borderId="50" xfId="0" applyFont="1" applyBorder="1" applyAlignment="1">
      <alignment horizontal="center" vertical="top" wrapText="1"/>
    </xf>
    <xf numFmtId="3" fontId="1" fillId="0" borderId="50" xfId="0" applyNumberFormat="1" applyFont="1" applyFill="1" applyBorder="1" applyAlignment="1">
      <alignment vertical="top" wrapText="1"/>
    </xf>
    <xf numFmtId="3" fontId="1" fillId="0" borderId="50" xfId="0" applyNumberFormat="1" applyFont="1" applyBorder="1" applyAlignment="1">
      <alignment horizontal="right" vertical="top" wrapText="1"/>
    </xf>
    <xf numFmtId="3" fontId="1" fillId="0" borderId="51" xfId="1" applyNumberFormat="1" applyFont="1" applyBorder="1" applyAlignment="1">
      <alignment vertical="top"/>
    </xf>
    <xf numFmtId="0" fontId="1" fillId="0" borderId="0" xfId="0" applyFont="1" applyAlignment="1">
      <alignment vertical="top"/>
    </xf>
    <xf numFmtId="3" fontId="1" fillId="0" borderId="2" xfId="0" applyNumberFormat="1" applyFont="1" applyFill="1" applyBorder="1" applyAlignment="1">
      <alignment vertical="top" wrapText="1"/>
    </xf>
    <xf numFmtId="3" fontId="1" fillId="0" borderId="2" xfId="0" applyNumberFormat="1" applyFont="1" applyBorder="1" applyAlignment="1">
      <alignment horizontal="right" vertical="top" wrapText="1"/>
    </xf>
    <xf numFmtId="3" fontId="1" fillId="0" borderId="19" xfId="1" applyNumberFormat="1" applyFont="1" applyBorder="1" applyAlignment="1">
      <alignment vertical="top"/>
    </xf>
    <xf numFmtId="3" fontId="1" fillId="0" borderId="2" xfId="0" applyNumberFormat="1" applyFont="1" applyFill="1" applyBorder="1" applyAlignment="1">
      <alignment horizontal="right" vertical="top" wrapText="1"/>
    </xf>
    <xf numFmtId="3" fontId="1" fillId="0" borderId="19" xfId="1" applyNumberFormat="1" applyFont="1" applyFill="1" applyBorder="1" applyAlignment="1">
      <alignment vertical="top"/>
    </xf>
    <xf numFmtId="0" fontId="1" fillId="0" borderId="2" xfId="0" applyFont="1" applyBorder="1" applyAlignment="1">
      <alignment vertical="top" wrapText="1"/>
    </xf>
    <xf numFmtId="0" fontId="1" fillId="0" borderId="38" xfId="0" applyFont="1" applyFill="1" applyBorder="1" applyAlignment="1">
      <alignment horizontal="center" vertical="top" wrapText="1"/>
    </xf>
    <xf numFmtId="0" fontId="1" fillId="0" borderId="50" xfId="0" applyFont="1" applyFill="1" applyBorder="1" applyAlignment="1">
      <alignment horizontal="center" vertical="top" wrapText="1"/>
    </xf>
    <xf numFmtId="0" fontId="1" fillId="0" borderId="50" xfId="0" applyFont="1" applyFill="1" applyBorder="1" applyAlignment="1">
      <alignment vertical="top"/>
    </xf>
    <xf numFmtId="3" fontId="1" fillId="0" borderId="50" xfId="1" applyNumberFormat="1" applyFont="1" applyBorder="1" applyAlignment="1">
      <alignment horizontal="right" vertical="top"/>
    </xf>
    <xf numFmtId="0" fontId="1" fillId="0" borderId="2" xfId="0" applyFont="1" applyFill="1" applyBorder="1" applyAlignment="1">
      <alignment vertical="top"/>
    </xf>
    <xf numFmtId="3" fontId="1" fillId="0" borderId="2" xfId="1" applyNumberFormat="1" applyFont="1" applyBorder="1" applyAlignment="1">
      <alignment horizontal="right" vertical="top"/>
    </xf>
    <xf numFmtId="0" fontId="1" fillId="0" borderId="23" xfId="0" applyFont="1" applyBorder="1" applyAlignment="1">
      <alignment horizontal="left" vertical="top"/>
    </xf>
    <xf numFmtId="3" fontId="1" fillId="0" borderId="37" xfId="0" applyNumberFormat="1" applyFont="1" applyFill="1" applyBorder="1" applyAlignment="1">
      <alignment horizontal="right" vertical="top" wrapText="1"/>
    </xf>
    <xf numFmtId="0" fontId="1" fillId="0" borderId="37" xfId="0" applyFont="1" applyFill="1" applyBorder="1" applyAlignment="1">
      <alignment horizontal="justify" vertical="top" wrapText="1"/>
    </xf>
    <xf numFmtId="0" fontId="1" fillId="0" borderId="37" xfId="0" applyFont="1" applyFill="1" applyBorder="1" applyAlignment="1">
      <alignment horizontal="center" vertical="top" wrapText="1"/>
    </xf>
    <xf numFmtId="3" fontId="1" fillId="0" borderId="12" xfId="1" applyNumberFormat="1" applyFont="1" applyBorder="1" applyAlignment="1">
      <alignment vertical="top"/>
    </xf>
    <xf numFmtId="0" fontId="1" fillId="0" borderId="13" xfId="0" applyFont="1" applyBorder="1"/>
    <xf numFmtId="0" fontId="1" fillId="0" borderId="14" xfId="0" applyFont="1" applyBorder="1" applyAlignment="1">
      <alignment horizontal="justify" wrapText="1"/>
    </xf>
    <xf numFmtId="0" fontId="1" fillId="0" borderId="14" xfId="0" applyFont="1" applyBorder="1"/>
    <xf numFmtId="3" fontId="1" fillId="0" borderId="14" xfId="0" applyNumberFormat="1" applyFont="1" applyBorder="1"/>
    <xf numFmtId="0" fontId="1" fillId="0" borderId="52" xfId="0" applyFont="1" applyBorder="1"/>
    <xf numFmtId="0" fontId="1" fillId="0" borderId="22" xfId="0" applyFont="1" applyFill="1" applyBorder="1"/>
    <xf numFmtId="39" fontId="1" fillId="0" borderId="24" xfId="0" applyNumberFormat="1" applyFont="1" applyFill="1" applyBorder="1"/>
    <xf numFmtId="0" fontId="1" fillId="0" borderId="53" xfId="0" applyFont="1" applyBorder="1"/>
    <xf numFmtId="3" fontId="1" fillId="0" borderId="12" xfId="1" applyNumberFormat="1" applyFont="1" applyBorder="1" applyAlignment="1">
      <alignment vertical="center"/>
    </xf>
    <xf numFmtId="3" fontId="1" fillId="0" borderId="2" xfId="0" applyNumberFormat="1" applyFont="1" applyBorder="1" applyAlignment="1">
      <alignment vertical="top" wrapText="1"/>
    </xf>
    <xf numFmtId="3" fontId="1" fillId="0" borderId="2" xfId="1" applyNumberFormat="1" applyFont="1" applyBorder="1" applyAlignment="1">
      <alignment horizontal="right" vertical="center" wrapText="1"/>
    </xf>
    <xf numFmtId="3" fontId="1" fillId="0" borderId="2" xfId="1" applyNumberFormat="1" applyFont="1" applyFill="1" applyBorder="1" applyAlignment="1">
      <alignment vertical="top" wrapText="1"/>
    </xf>
    <xf numFmtId="3" fontId="1" fillId="0" borderId="12" xfId="1" applyNumberFormat="1" applyFont="1" applyFill="1" applyBorder="1" applyAlignment="1">
      <alignment vertical="top"/>
    </xf>
    <xf numFmtId="3" fontId="1" fillId="0" borderId="2" xfId="1" applyNumberFormat="1" applyFont="1" applyFill="1" applyBorder="1" applyAlignment="1">
      <alignment horizontal="right" vertical="center" wrapText="1"/>
    </xf>
    <xf numFmtId="3" fontId="1" fillId="0" borderId="2" xfId="1" applyNumberFormat="1" applyFont="1" applyFill="1" applyBorder="1" applyAlignment="1">
      <alignment horizontal="right" vertical="top" wrapText="1"/>
    </xf>
    <xf numFmtId="0" fontId="1" fillId="0" borderId="23" xfId="0" applyFont="1" applyBorder="1"/>
    <xf numFmtId="0" fontId="1" fillId="0" borderId="50" xfId="0" applyFont="1" applyFill="1" applyBorder="1" applyAlignment="1">
      <alignment horizontal="right" vertical="top" wrapText="1"/>
    </xf>
    <xf numFmtId="39" fontId="1" fillId="0" borderId="50" xfId="1" applyNumberFormat="1" applyFont="1" applyFill="1" applyBorder="1" applyAlignment="1">
      <alignment vertical="center" wrapText="1"/>
    </xf>
    <xf numFmtId="4" fontId="1" fillId="0" borderId="55" xfId="1" applyNumberFormat="1" applyFont="1" applyFill="1" applyBorder="1" applyAlignment="1">
      <alignment vertical="center"/>
    </xf>
    <xf numFmtId="39" fontId="1" fillId="0" borderId="2" xfId="1" applyNumberFormat="1" applyFont="1" applyFill="1" applyBorder="1" applyAlignment="1">
      <alignment vertical="center" wrapText="1"/>
    </xf>
    <xf numFmtId="4" fontId="1" fillId="0" borderId="12" xfId="1" applyNumberFormat="1" applyFont="1" applyFill="1" applyBorder="1" applyAlignment="1">
      <alignment vertical="center"/>
    </xf>
    <xf numFmtId="39" fontId="1" fillId="0" borderId="57" xfId="1" applyNumberFormat="1" applyFont="1" applyFill="1" applyBorder="1" applyAlignment="1">
      <alignment vertical="center" wrapText="1"/>
    </xf>
    <xf numFmtId="4" fontId="1" fillId="0" borderId="30" xfId="1" applyNumberFormat="1" applyFont="1" applyFill="1" applyBorder="1" applyAlignment="1">
      <alignment vertical="center"/>
    </xf>
    <xf numFmtId="0" fontId="1" fillId="0" borderId="50" xfId="0" applyFont="1" applyBorder="1" applyAlignment="1">
      <alignment horizontal="center" vertical="top"/>
    </xf>
    <xf numFmtId="3" fontId="1" fillId="0" borderId="48" xfId="0" applyNumberFormat="1" applyFont="1" applyFill="1" applyBorder="1" applyAlignment="1">
      <alignment vertical="top"/>
    </xf>
    <xf numFmtId="3" fontId="1" fillId="0" borderId="48" xfId="1" applyNumberFormat="1" applyFont="1" applyBorder="1" applyAlignment="1">
      <alignment vertical="center"/>
    </xf>
    <xf numFmtId="3" fontId="1" fillId="0" borderId="51" xfId="1" applyNumberFormat="1" applyFont="1" applyBorder="1" applyAlignment="1">
      <alignment vertical="center"/>
    </xf>
    <xf numFmtId="0" fontId="1" fillId="0" borderId="2" xfId="0" applyFont="1" applyBorder="1" applyAlignment="1">
      <alignment horizontal="center" vertical="top"/>
    </xf>
    <xf numFmtId="3" fontId="1" fillId="0" borderId="37" xfId="0" applyNumberFormat="1" applyFont="1" applyFill="1" applyBorder="1" applyAlignment="1">
      <alignment vertical="top"/>
    </xf>
    <xf numFmtId="3" fontId="1" fillId="0" borderId="37" xfId="1" applyNumberFormat="1" applyFont="1" applyBorder="1" applyAlignment="1">
      <alignment vertical="center"/>
    </xf>
    <xf numFmtId="3" fontId="1" fillId="0" borderId="19" xfId="1" applyNumberFormat="1" applyFont="1" applyBorder="1" applyAlignment="1">
      <alignment vertical="center"/>
    </xf>
    <xf numFmtId="0" fontId="1" fillId="0" borderId="0" xfId="0" applyFont="1" applyBorder="1" applyAlignment="1">
      <alignment vertical="top" wrapText="1"/>
    </xf>
    <xf numFmtId="0" fontId="1" fillId="0" borderId="18" xfId="0" applyFont="1" applyFill="1" applyBorder="1" applyAlignment="1">
      <alignment vertical="top" wrapText="1"/>
    </xf>
    <xf numFmtId="0" fontId="1" fillId="0" borderId="2" xfId="0" applyFont="1" applyFill="1" applyBorder="1" applyAlignment="1">
      <alignment horizontal="center" vertical="top"/>
    </xf>
    <xf numFmtId="0" fontId="1" fillId="0" borderId="18" xfId="0" applyFont="1" applyBorder="1" applyAlignment="1">
      <alignment vertical="top" wrapText="1"/>
    </xf>
    <xf numFmtId="2" fontId="1" fillId="0" borderId="2" xfId="0" applyNumberFormat="1" applyFont="1" applyFill="1" applyBorder="1" applyAlignment="1">
      <alignment horizontal="center" vertical="top"/>
    </xf>
    <xf numFmtId="3" fontId="1" fillId="0" borderId="2" xfId="0" applyNumberFormat="1" applyFont="1" applyFill="1" applyBorder="1" applyAlignment="1">
      <alignment vertical="top"/>
    </xf>
    <xf numFmtId="3" fontId="1" fillId="0" borderId="2" xfId="1" applyNumberFormat="1" applyFont="1" applyBorder="1" applyAlignment="1">
      <alignment horizontal="right" vertical="center"/>
    </xf>
    <xf numFmtId="3" fontId="1" fillId="0" borderId="2" xfId="1" applyNumberFormat="1" applyFont="1" applyBorder="1" applyAlignment="1">
      <alignment vertical="center"/>
    </xf>
    <xf numFmtId="2" fontId="1" fillId="0" borderId="2" xfId="0" applyNumberFormat="1" applyFont="1" applyBorder="1" applyAlignment="1">
      <alignment vertical="top" wrapText="1"/>
    </xf>
    <xf numFmtId="2" fontId="1" fillId="0" borderId="2" xfId="0" applyNumberFormat="1" applyFont="1" applyBorder="1" applyAlignment="1">
      <alignment horizontal="center" vertical="top"/>
    </xf>
    <xf numFmtId="3" fontId="1" fillId="0" borderId="2" xfId="1" applyNumberFormat="1" applyFont="1" applyFill="1" applyBorder="1" applyAlignment="1">
      <alignment vertical="top"/>
    </xf>
    <xf numFmtId="0" fontId="1" fillId="0" borderId="54" xfId="0" applyFont="1" applyBorder="1" applyAlignment="1">
      <alignment horizontal="justify" vertical="top" wrapText="1"/>
    </xf>
    <xf numFmtId="3" fontId="1" fillId="0" borderId="2" xfId="0" applyNumberFormat="1" applyFont="1" applyBorder="1" applyAlignment="1" applyProtection="1">
      <alignment vertical="top" wrapText="1"/>
    </xf>
    <xf numFmtId="3" fontId="1" fillId="0" borderId="12" xfId="0" applyNumberFormat="1" applyFont="1" applyBorder="1" applyAlignment="1">
      <alignment horizontal="right" vertical="top" wrapText="1"/>
    </xf>
    <xf numFmtId="0" fontId="1" fillId="0" borderId="37" xfId="0" applyFont="1" applyBorder="1" applyAlignment="1">
      <alignment horizontal="center" vertical="top" wrapText="1"/>
    </xf>
    <xf numFmtId="3" fontId="1" fillId="0" borderId="37" xfId="0" applyNumberFormat="1" applyFont="1" applyFill="1" applyBorder="1" applyAlignment="1">
      <alignment vertical="top" wrapText="1"/>
    </xf>
    <xf numFmtId="3" fontId="1" fillId="0" borderId="37" xfId="0" applyNumberFormat="1" applyFont="1" applyBorder="1" applyAlignment="1">
      <alignment horizontal="right" vertical="top" wrapText="1"/>
    </xf>
    <xf numFmtId="3" fontId="1" fillId="0" borderId="19" xfId="0" applyNumberFormat="1" applyFont="1" applyBorder="1" applyAlignment="1">
      <alignment horizontal="right" vertical="top" wrapText="1"/>
    </xf>
    <xf numFmtId="0" fontId="1" fillId="0" borderId="58" xfId="0" applyFont="1" applyBorder="1" applyAlignment="1">
      <alignment horizontal="center" vertical="top" wrapText="1"/>
    </xf>
    <xf numFmtId="0" fontId="1" fillId="0" borderId="59" xfId="0" applyFont="1" applyBorder="1" applyAlignment="1">
      <alignment vertical="top" wrapText="1"/>
    </xf>
    <xf numFmtId="0" fontId="1" fillId="0" borderId="59" xfId="0" applyFont="1" applyBorder="1" applyAlignment="1">
      <alignment horizontal="center" vertical="top" wrapText="1"/>
    </xf>
    <xf numFmtId="3" fontId="1" fillId="0" borderId="59" xfId="1" applyNumberFormat="1" applyFont="1" applyFill="1" applyBorder="1" applyAlignment="1">
      <alignment vertical="top" wrapText="1"/>
    </xf>
    <xf numFmtId="0" fontId="1" fillId="0" borderId="31" xfId="0" applyFont="1" applyBorder="1"/>
    <xf numFmtId="49" fontId="1" fillId="0" borderId="2" xfId="0" applyNumberFormat="1" applyFont="1" applyBorder="1" applyAlignment="1">
      <alignment horizontal="center" vertical="top" wrapText="1"/>
    </xf>
    <xf numFmtId="0" fontId="1" fillId="0" borderId="0" xfId="0" applyFont="1" applyBorder="1"/>
    <xf numFmtId="37" fontId="1" fillId="0" borderId="2" xfId="0" applyNumberFormat="1" applyFont="1" applyFill="1" applyBorder="1" applyAlignment="1">
      <alignment vertical="top" wrapText="1"/>
    </xf>
    <xf numFmtId="3" fontId="1" fillId="0" borderId="2" xfId="1" applyNumberFormat="1" applyFont="1" applyFill="1" applyBorder="1" applyAlignment="1">
      <alignment vertical="center" wrapText="1"/>
    </xf>
    <xf numFmtId="3" fontId="1" fillId="0" borderId="12" xfId="1" applyNumberFormat="1" applyFont="1" applyBorder="1" applyAlignment="1">
      <alignment vertical="center" wrapText="1"/>
    </xf>
    <xf numFmtId="1" fontId="1" fillId="0" borderId="2" xfId="0" applyNumberFormat="1" applyFont="1" applyBorder="1" applyAlignment="1">
      <alignment horizontal="center" vertical="top"/>
    </xf>
    <xf numFmtId="4" fontId="1" fillId="0" borderId="2" xfId="0" applyNumberFormat="1" applyFont="1" applyBorder="1" applyAlignment="1">
      <alignment vertical="center" wrapText="1"/>
    </xf>
    <xf numFmtId="3" fontId="1" fillId="0" borderId="12" xfId="0" applyNumberFormat="1" applyFont="1" applyBorder="1" applyAlignment="1">
      <alignment vertical="center" wrapText="1"/>
    </xf>
    <xf numFmtId="4" fontId="1" fillId="0" borderId="2" xfId="0" applyNumberFormat="1" applyFont="1" applyBorder="1" applyAlignment="1">
      <alignment vertical="center"/>
    </xf>
    <xf numFmtId="3" fontId="1" fillId="0" borderId="12" xfId="0" applyNumberFormat="1" applyFont="1" applyBorder="1" applyAlignment="1">
      <alignment vertical="center"/>
    </xf>
    <xf numFmtId="49" fontId="1" fillId="0" borderId="13" xfId="0" applyNumberFormat="1" applyFont="1" applyBorder="1" applyAlignment="1">
      <alignment horizontal="center" vertical="top" wrapText="1"/>
    </xf>
    <xf numFmtId="0" fontId="1" fillId="0" borderId="14" xfId="0" quotePrefix="1" applyFont="1" applyBorder="1" applyAlignment="1">
      <alignment horizontal="left" vertical="top" wrapText="1"/>
    </xf>
    <xf numFmtId="0" fontId="1" fillId="0" borderId="14" xfId="0" applyFont="1" applyBorder="1" applyAlignment="1">
      <alignment horizontal="center" vertical="top" wrapText="1"/>
    </xf>
    <xf numFmtId="4" fontId="1" fillId="0" borderId="14" xfId="0" applyNumberFormat="1" applyFont="1" applyBorder="1" applyAlignment="1">
      <alignment vertical="top" wrapText="1"/>
    </xf>
    <xf numFmtId="3" fontId="1" fillId="0" borderId="14" xfId="0" applyNumberFormat="1" applyFont="1" applyBorder="1" applyAlignment="1">
      <alignment vertical="top" wrapText="1"/>
    </xf>
  </cellXfs>
  <cellStyles count="4">
    <cellStyle name="Millares" xfId="1" builtinId="3"/>
    <cellStyle name="Normal" xfId="0" builtinId="0"/>
    <cellStyle name="Normal 3" xfId="2" xr:uid="{00000000-0005-0000-0000-000002000000}"/>
    <cellStyle name="Normal 3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ublic/Backup/Juan%20Pablo/Mis%20Documentos/CSJ/Juz%20de%201&#176;%20Instancia/Capitan%20Bado/DOC/SDP%20108-2015%20Obras%20Civiles%20e%20Instalaciones%20Cap.%20Bado/Plla%20SDP%20108-2015%20Obras%20e%20Instalaciones%20Cap.%20B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1 Obras Civiles"/>
      <sheetName val="A.2 Climatizacion"/>
      <sheetName val="A.3 Int. Electronica"/>
      <sheetName val="A.4 Seg Electronica"/>
      <sheetName val="A.5 Com Oral"/>
      <sheetName val="A.6 Telefonia"/>
      <sheetName val="A.7 Red de datos"/>
      <sheetName val="A.8 Ascensor"/>
      <sheetName val="A.9 Generador"/>
    </sheetNames>
    <sheetDataSet>
      <sheetData sheetId="0">
        <row r="1">
          <cell r="B1" t="str">
            <v>CORTE SUPREMA DE JUSTICIA - PROGRAMA DE LAS NACIONES UNIDAS PARA EL DESARROLLO</v>
          </cell>
        </row>
        <row r="2">
          <cell r="B2" t="str">
            <v>"PROGRAMA DE INFRAESTRUCTURA EDILICIA CSJ - PNUD"</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abSelected="1" workbookViewId="0">
      <selection activeCell="D15" sqref="D15"/>
    </sheetView>
  </sheetViews>
  <sheetFormatPr defaultColWidth="11.42578125" defaultRowHeight="12.75"/>
  <cols>
    <col min="1" max="1" width="0.7109375" customWidth="1"/>
    <col min="2" max="2" width="11.85546875" customWidth="1"/>
    <col min="3" max="3" width="16.7109375" style="1" customWidth="1"/>
    <col min="4" max="4" width="54.85546875" customWidth="1"/>
    <col min="5" max="5" width="20.7109375" customWidth="1"/>
  </cols>
  <sheetData>
    <row r="1" spans="2:5">
      <c r="B1" s="61" t="s">
        <v>0</v>
      </c>
      <c r="C1" s="51"/>
      <c r="D1" s="558"/>
      <c r="E1" s="558"/>
    </row>
    <row r="2" spans="2:5" ht="15">
      <c r="B2" s="62" t="s">
        <v>1</v>
      </c>
      <c r="C2" s="52"/>
      <c r="D2" s="559"/>
      <c r="E2" s="559"/>
    </row>
    <row r="3" spans="2:5" ht="54">
      <c r="B3" s="53" t="s">
        <v>2</v>
      </c>
      <c r="C3" s="54"/>
      <c r="D3" s="54"/>
      <c r="E3" s="54"/>
    </row>
    <row r="4" spans="2:5" ht="5.25" customHeight="1" thickBot="1">
      <c r="C4" s="3"/>
      <c r="D4" s="3"/>
      <c r="E4" s="3"/>
    </row>
    <row r="5" spans="2:5" ht="21" thickBot="1">
      <c r="B5" s="42" t="s">
        <v>3</v>
      </c>
      <c r="C5" s="43"/>
      <c r="D5" s="40"/>
      <c r="E5" s="41"/>
    </row>
    <row r="6" spans="2:5" ht="15">
      <c r="B6" s="44" t="s">
        <v>4</v>
      </c>
      <c r="C6" s="6" t="s">
        <v>5</v>
      </c>
      <c r="D6" s="7"/>
      <c r="E6" s="8" t="s">
        <v>6</v>
      </c>
    </row>
    <row r="7" spans="2:5" ht="15.75" thickBot="1">
      <c r="B7" s="45" t="s">
        <v>7</v>
      </c>
      <c r="C7" s="9"/>
      <c r="D7" s="10"/>
      <c r="E7" s="11" t="s">
        <v>8</v>
      </c>
    </row>
    <row r="8" spans="2:5" ht="13.5" thickBot="1">
      <c r="C8" s="18"/>
      <c r="D8" s="5"/>
      <c r="E8" s="5"/>
    </row>
    <row r="9" spans="2:5" ht="18.75" thickBot="1">
      <c r="B9" s="34" t="s">
        <v>9</v>
      </c>
      <c r="C9" s="31" t="s">
        <v>10</v>
      </c>
      <c r="D9" s="32"/>
      <c r="E9" s="33"/>
    </row>
    <row r="10" spans="2:5" ht="15.75">
      <c r="B10" s="35" t="s">
        <v>11</v>
      </c>
      <c r="C10" s="20" t="s">
        <v>12</v>
      </c>
      <c r="D10" s="30"/>
      <c r="E10" s="47"/>
    </row>
    <row r="11" spans="2:5" ht="15.75">
      <c r="B11" s="49" t="s">
        <v>13</v>
      </c>
      <c r="C11" s="13" t="s">
        <v>14</v>
      </c>
      <c r="D11" s="14"/>
      <c r="E11" s="15"/>
    </row>
    <row r="12" spans="2:5" ht="15.75">
      <c r="B12" s="49" t="s">
        <v>15</v>
      </c>
      <c r="C12" s="13" t="s">
        <v>16</v>
      </c>
      <c r="D12" s="14"/>
      <c r="E12" s="15"/>
    </row>
    <row r="13" spans="2:5" ht="15.75">
      <c r="B13" s="49" t="s">
        <v>17</v>
      </c>
      <c r="C13" s="13" t="s">
        <v>18</v>
      </c>
      <c r="D13" s="14"/>
      <c r="E13" s="15"/>
    </row>
    <row r="14" spans="2:5" ht="15.75">
      <c r="B14" s="49" t="s">
        <v>19</v>
      </c>
      <c r="C14" s="13" t="s">
        <v>20</v>
      </c>
      <c r="D14" s="14"/>
      <c r="E14" s="15"/>
    </row>
    <row r="15" spans="2:5" ht="15.75">
      <c r="B15" s="49" t="s">
        <v>21</v>
      </c>
      <c r="C15" s="13" t="s">
        <v>22</v>
      </c>
      <c r="D15" s="14"/>
      <c r="E15" s="15"/>
    </row>
    <row r="16" spans="2:5" ht="15.75">
      <c r="B16" s="49" t="s">
        <v>23</v>
      </c>
      <c r="C16" s="13" t="s">
        <v>24</v>
      </c>
      <c r="D16" s="14"/>
      <c r="E16" s="15"/>
    </row>
    <row r="17" spans="1:5" ht="15.75">
      <c r="B17" s="49" t="s">
        <v>25</v>
      </c>
      <c r="C17" s="13" t="s">
        <v>26</v>
      </c>
      <c r="D17" s="14"/>
      <c r="E17" s="15"/>
    </row>
    <row r="18" spans="1:5" ht="16.5" thickBot="1">
      <c r="B18" s="50" t="s">
        <v>27</v>
      </c>
      <c r="C18" s="16" t="s">
        <v>28</v>
      </c>
      <c r="D18" s="17"/>
      <c r="E18" s="48"/>
    </row>
    <row r="19" spans="1:5" ht="16.5" thickBot="1">
      <c r="B19" s="46"/>
      <c r="C19" s="65" t="s">
        <v>29</v>
      </c>
      <c r="D19" s="66"/>
      <c r="E19" s="67"/>
    </row>
    <row r="20" spans="1:5" ht="24" customHeight="1" thickBot="1">
      <c r="C20" s="18"/>
      <c r="D20" s="5"/>
      <c r="E20" s="5"/>
    </row>
    <row r="21" spans="1:5" ht="18.75" thickBot="1">
      <c r="B21" s="34" t="s">
        <v>30</v>
      </c>
      <c r="C21" s="31" t="s">
        <v>31</v>
      </c>
      <c r="D21" s="32"/>
      <c r="E21" s="33"/>
    </row>
    <row r="22" spans="1:5" ht="15.75">
      <c r="B22" s="35" t="s">
        <v>32</v>
      </c>
      <c r="C22" s="20" t="s">
        <v>12</v>
      </c>
      <c r="D22" s="30"/>
      <c r="E22" s="47"/>
    </row>
    <row r="23" spans="1:5" ht="15.75">
      <c r="B23" s="49" t="s">
        <v>33</v>
      </c>
      <c r="C23" s="13" t="s">
        <v>14</v>
      </c>
      <c r="D23" s="14"/>
      <c r="E23" s="15"/>
    </row>
    <row r="24" spans="1:5" ht="15.75">
      <c r="B24" s="49" t="s">
        <v>34</v>
      </c>
      <c r="C24" s="13" t="s">
        <v>16</v>
      </c>
      <c r="D24" s="14"/>
      <c r="E24" s="15"/>
    </row>
    <row r="25" spans="1:5" ht="15.75">
      <c r="B25" s="49" t="s">
        <v>35</v>
      </c>
      <c r="C25" s="13" t="s">
        <v>18</v>
      </c>
      <c r="D25" s="14"/>
      <c r="E25" s="15"/>
    </row>
    <row r="26" spans="1:5" ht="15.75">
      <c r="B26" s="49" t="s">
        <v>36</v>
      </c>
      <c r="C26" s="13" t="s">
        <v>20</v>
      </c>
      <c r="D26" s="14"/>
      <c r="E26" s="15"/>
    </row>
    <row r="27" spans="1:5" ht="15.75">
      <c r="B27" s="49" t="s">
        <v>37</v>
      </c>
      <c r="C27" s="13" t="s">
        <v>22</v>
      </c>
      <c r="D27" s="14"/>
      <c r="E27" s="15"/>
    </row>
    <row r="28" spans="1:5" ht="15.75">
      <c r="B28" s="36" t="s">
        <v>38</v>
      </c>
      <c r="C28" s="13" t="s">
        <v>24</v>
      </c>
      <c r="D28" s="28"/>
      <c r="E28" s="29"/>
    </row>
    <row r="29" spans="1:5" ht="15.75">
      <c r="B29" s="36" t="s">
        <v>39</v>
      </c>
      <c r="C29" s="13" t="s">
        <v>26</v>
      </c>
      <c r="D29" s="28"/>
      <c r="E29" s="29"/>
    </row>
    <row r="30" spans="1:5" ht="16.5" thickBot="1">
      <c r="B30" s="50" t="s">
        <v>40</v>
      </c>
      <c r="C30" s="16" t="s">
        <v>28</v>
      </c>
      <c r="D30" s="17"/>
      <c r="E30" s="48"/>
    </row>
    <row r="31" spans="1:5" ht="16.5" thickBot="1">
      <c r="B31" s="39"/>
      <c r="C31" s="65" t="s">
        <v>41</v>
      </c>
      <c r="D31" s="68"/>
      <c r="E31" s="67"/>
    </row>
    <row r="32" spans="1:5" ht="14.25" customHeight="1" thickBot="1">
      <c r="A32" s="19"/>
      <c r="B32" s="19"/>
      <c r="C32" s="18"/>
      <c r="D32" s="5"/>
      <c r="E32" s="5"/>
    </row>
    <row r="33" spans="2:5" ht="18.75" thickBot="1">
      <c r="B33" s="37"/>
      <c r="C33" s="12" t="s">
        <v>42</v>
      </c>
      <c r="D33" s="2"/>
      <c r="E33" s="21"/>
    </row>
    <row r="34" spans="2:5" ht="16.5" thickTop="1">
      <c r="B34" s="38"/>
      <c r="C34" s="22" t="s">
        <v>43</v>
      </c>
      <c r="D34" s="23"/>
      <c r="E34" s="24"/>
    </row>
    <row r="35" spans="2:5" ht="13.5" thickBot="1">
      <c r="B35" s="39"/>
      <c r="C35" s="25"/>
      <c r="D35" s="26"/>
      <c r="E35" s="27"/>
    </row>
  </sheetData>
  <phoneticPr fontId="7" type="noConversion"/>
  <pageMargins left="0.78740157480314965" right="0.27559055118110237" top="0.8" bottom="0.98425196850393704" header="0" footer="0.28000000000000003"/>
  <pageSetup paperSize="119" scale="90" orientation="portrait" verticalDpi="1200" r:id="rId1"/>
  <headerFooter alignWithMargins="0">
    <oddFoote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I24"/>
  <sheetViews>
    <sheetView workbookViewId="0">
      <selection activeCell="D25" sqref="D25"/>
    </sheetView>
  </sheetViews>
  <sheetFormatPr defaultColWidth="9.140625" defaultRowHeight="12.75"/>
  <cols>
    <col min="1" max="1" width="1.140625" style="89" customWidth="1"/>
    <col min="2" max="2" width="11.7109375" style="89" customWidth="1"/>
    <col min="3" max="3" width="5.140625" style="89" bestFit="1" customWidth="1"/>
    <col min="4" max="4" width="70.28515625" style="89" bestFit="1" customWidth="1"/>
    <col min="5" max="5" width="8.5703125" style="89" customWidth="1"/>
    <col min="6" max="6" width="11.7109375" style="89" customWidth="1"/>
    <col min="7" max="8" width="12.5703125" style="89" customWidth="1"/>
    <col min="9" max="9" width="3" style="89" customWidth="1"/>
    <col min="10" max="251" width="11.42578125" style="89" customWidth="1"/>
    <col min="252" max="16384" width="9.140625" style="89"/>
  </cols>
  <sheetData>
    <row r="1" spans="2:9" s="58" customFormat="1">
      <c r="B1" s="71" t="s">
        <v>0</v>
      </c>
      <c r="C1" s="568"/>
      <c r="D1" s="568"/>
      <c r="E1" s="568"/>
      <c r="F1" s="568"/>
      <c r="G1" s="568"/>
      <c r="H1" s="568"/>
      <c r="I1" s="569"/>
    </row>
    <row r="2" spans="2:9" s="58" customFormat="1">
      <c r="B2" s="71" t="s">
        <v>1</v>
      </c>
      <c r="C2" s="568"/>
      <c r="D2" s="568"/>
      <c r="E2" s="568"/>
      <c r="F2" s="568"/>
      <c r="G2" s="568"/>
      <c r="H2" s="568"/>
      <c r="I2" s="569"/>
    </row>
    <row r="3" spans="2:9" s="58" customFormat="1">
      <c r="B3" s="71" t="str">
        <f>+Resumen!B3</f>
        <v>SDP/00014311/573/2020 - OBRAS CIVILES, INSTALACIONES Y MANTENIMIENTO POSTERIOR - PALACIO DE JUSTICIA DE SALTO DEL GUAIRÁ.</v>
      </c>
      <c r="C3" s="568"/>
      <c r="D3" s="568"/>
      <c r="E3" s="568"/>
      <c r="F3" s="568"/>
      <c r="G3" s="568"/>
      <c r="H3" s="568"/>
      <c r="I3" s="569"/>
    </row>
    <row r="4" spans="2:9" s="58" customFormat="1" ht="5.25" customHeight="1" thickBot="1">
      <c r="B4" s="72"/>
      <c r="C4" s="73"/>
      <c r="D4" s="570"/>
      <c r="E4" s="570"/>
      <c r="F4" s="571"/>
      <c r="G4" s="572"/>
      <c r="H4" s="572"/>
      <c r="I4" s="569"/>
    </row>
    <row r="5" spans="2:9" s="58" customFormat="1" ht="18.75" thickBot="1">
      <c r="B5" s="74" t="s">
        <v>5936</v>
      </c>
      <c r="C5" s="573"/>
      <c r="D5" s="75"/>
      <c r="E5" s="573"/>
      <c r="F5" s="574"/>
      <c r="G5" s="575"/>
      <c r="H5" s="576"/>
      <c r="I5" s="569"/>
    </row>
    <row r="6" spans="2:9" s="58" customFormat="1">
      <c r="B6" s="76" t="s">
        <v>45</v>
      </c>
      <c r="C6" s="77" t="s">
        <v>46</v>
      </c>
      <c r="D6" s="77" t="s">
        <v>47</v>
      </c>
      <c r="E6" s="77" t="s">
        <v>48</v>
      </c>
      <c r="F6" s="78" t="s">
        <v>5361</v>
      </c>
      <c r="G6" s="79" t="s">
        <v>50</v>
      </c>
      <c r="H6" s="80" t="s">
        <v>6</v>
      </c>
      <c r="I6" s="569"/>
    </row>
    <row r="7" spans="2:9" s="58" customFormat="1" ht="13.5" thickBot="1">
      <c r="B7" s="93"/>
      <c r="C7" s="94" t="s">
        <v>51</v>
      </c>
      <c r="D7" s="94"/>
      <c r="E7" s="95"/>
      <c r="F7" s="96"/>
      <c r="G7" s="109" t="s">
        <v>8</v>
      </c>
      <c r="H7" s="110" t="s">
        <v>8</v>
      </c>
      <c r="I7" s="569"/>
    </row>
    <row r="8" spans="2:9" s="124" customFormat="1" ht="15" thickBot="1">
      <c r="B8" s="139" t="s">
        <v>4839</v>
      </c>
      <c r="C8" s="140"/>
      <c r="D8" s="140"/>
      <c r="E8" s="140"/>
      <c r="F8" s="140"/>
      <c r="G8" s="140"/>
      <c r="H8" s="152"/>
    </row>
    <row r="9" spans="2:9" s="4" customFormat="1" ht="76.5">
      <c r="B9" s="153" t="s">
        <v>5937</v>
      </c>
      <c r="C9" s="626" t="s">
        <v>5938</v>
      </c>
      <c r="D9" s="180" t="s">
        <v>5939</v>
      </c>
      <c r="E9" s="658" t="s">
        <v>99</v>
      </c>
      <c r="F9" s="582">
        <v>1</v>
      </c>
      <c r="G9" s="115"/>
      <c r="H9" s="116"/>
      <c r="I9" s="654"/>
    </row>
    <row r="10" spans="2:9" s="4" customFormat="1" ht="25.5">
      <c r="B10" s="153" t="s">
        <v>5940</v>
      </c>
      <c r="C10" s="626" t="s">
        <v>5938</v>
      </c>
      <c r="D10" s="179" t="s">
        <v>5941</v>
      </c>
      <c r="E10" s="118" t="s">
        <v>99</v>
      </c>
      <c r="F10" s="582">
        <v>1</v>
      </c>
      <c r="G10" s="115"/>
      <c r="H10" s="116"/>
      <c r="I10" s="654"/>
    </row>
    <row r="11" spans="2:9" s="4" customFormat="1" ht="25.5">
      <c r="B11" s="153" t="s">
        <v>5942</v>
      </c>
      <c r="C11" s="626" t="s">
        <v>5938</v>
      </c>
      <c r="D11" s="179" t="s">
        <v>5943</v>
      </c>
      <c r="E11" s="178" t="s">
        <v>309</v>
      </c>
      <c r="F11" s="582">
        <v>1</v>
      </c>
      <c r="G11" s="115"/>
      <c r="H11" s="116"/>
      <c r="I11" s="654"/>
    </row>
    <row r="12" spans="2:9" s="4" customFormat="1">
      <c r="B12" s="153" t="s">
        <v>5944</v>
      </c>
      <c r="C12" s="626" t="s">
        <v>5938</v>
      </c>
      <c r="D12" s="179" t="s">
        <v>5945</v>
      </c>
      <c r="E12" s="178" t="s">
        <v>99</v>
      </c>
      <c r="F12" s="582">
        <v>1</v>
      </c>
      <c r="G12" s="115"/>
      <c r="H12" s="116"/>
      <c r="I12" s="654"/>
    </row>
    <row r="13" spans="2:9" s="4" customFormat="1">
      <c r="B13" s="153" t="s">
        <v>5946</v>
      </c>
      <c r="C13" s="626" t="s">
        <v>5938</v>
      </c>
      <c r="D13" s="179" t="s">
        <v>5889</v>
      </c>
      <c r="E13" s="178" t="s">
        <v>309</v>
      </c>
      <c r="F13" s="582">
        <v>1</v>
      </c>
      <c r="G13" s="659"/>
      <c r="H13" s="660"/>
      <c r="I13" s="654"/>
    </row>
    <row r="14" spans="2:9" s="4" customFormat="1" ht="13.5" thickBot="1">
      <c r="B14" s="153" t="s">
        <v>5947</v>
      </c>
      <c r="C14" s="626" t="s">
        <v>5938</v>
      </c>
      <c r="D14" s="179" t="s">
        <v>5948</v>
      </c>
      <c r="E14" s="178" t="s">
        <v>99</v>
      </c>
      <c r="F14" s="582">
        <v>1</v>
      </c>
      <c r="G14" s="661"/>
      <c r="H14" s="662"/>
      <c r="I14" s="654"/>
    </row>
    <row r="15" spans="2:9" s="124" customFormat="1" ht="15" thickBot="1">
      <c r="B15" s="139" t="s">
        <v>4919</v>
      </c>
      <c r="C15" s="140"/>
      <c r="D15" s="140"/>
      <c r="E15" s="159"/>
      <c r="F15" s="159"/>
      <c r="G15" s="159"/>
      <c r="H15" s="160"/>
      <c r="I15" s="161"/>
    </row>
    <row r="16" spans="2:9" s="4" customFormat="1">
      <c r="B16" s="153" t="s">
        <v>5949</v>
      </c>
      <c r="C16" s="626" t="s">
        <v>5938</v>
      </c>
      <c r="D16" s="179" t="s">
        <v>5950</v>
      </c>
      <c r="E16" s="178" t="s">
        <v>309</v>
      </c>
      <c r="F16" s="582">
        <v>1</v>
      </c>
      <c r="G16" s="115"/>
      <c r="H16" s="116"/>
      <c r="I16" s="654"/>
    </row>
    <row r="17" spans="2:8" s="4" customFormat="1">
      <c r="B17" s="153" t="s">
        <v>5951</v>
      </c>
      <c r="C17" s="626" t="s">
        <v>5938</v>
      </c>
      <c r="D17" s="179" t="s">
        <v>5952</v>
      </c>
      <c r="E17" s="178" t="s">
        <v>309</v>
      </c>
      <c r="F17" s="582">
        <v>1</v>
      </c>
      <c r="G17" s="115"/>
      <c r="H17" s="116"/>
    </row>
    <row r="18" spans="2:8" s="4" customFormat="1" ht="25.5">
      <c r="B18" s="153" t="s">
        <v>5953</v>
      </c>
      <c r="C18" s="626" t="s">
        <v>5938</v>
      </c>
      <c r="D18" s="179" t="s">
        <v>5567</v>
      </c>
      <c r="E18" s="118" t="s">
        <v>99</v>
      </c>
      <c r="F18" s="582">
        <v>1</v>
      </c>
      <c r="G18" s="115"/>
      <c r="H18" s="116"/>
    </row>
    <row r="19" spans="2:8" s="4" customFormat="1">
      <c r="B19" s="153" t="s">
        <v>5954</v>
      </c>
      <c r="C19" s="626" t="s">
        <v>5938</v>
      </c>
      <c r="D19" s="587" t="s">
        <v>5955</v>
      </c>
      <c r="E19" s="178" t="s">
        <v>309</v>
      </c>
      <c r="F19" s="582">
        <v>1</v>
      </c>
      <c r="G19" s="115"/>
      <c r="H19" s="116"/>
    </row>
    <row r="20" spans="2:8" s="4" customFormat="1">
      <c r="B20" s="153" t="s">
        <v>5956</v>
      </c>
      <c r="C20" s="626" t="s">
        <v>5938</v>
      </c>
      <c r="D20" s="587" t="s">
        <v>5356</v>
      </c>
      <c r="E20" s="178" t="s">
        <v>309</v>
      </c>
      <c r="F20" s="582">
        <v>1</v>
      </c>
      <c r="G20" s="115"/>
      <c r="H20" s="116"/>
    </row>
    <row r="21" spans="2:8" s="4" customFormat="1">
      <c r="B21" s="153" t="s">
        <v>5957</v>
      </c>
      <c r="C21" s="626" t="s">
        <v>5938</v>
      </c>
      <c r="D21" s="587" t="s">
        <v>5358</v>
      </c>
      <c r="E21" s="178" t="s">
        <v>309</v>
      </c>
      <c r="F21" s="582">
        <v>1</v>
      </c>
      <c r="G21" s="115"/>
      <c r="H21" s="116"/>
    </row>
    <row r="22" spans="2:8" s="4" customFormat="1" ht="5.25" customHeight="1" thickBot="1">
      <c r="B22" s="663"/>
      <c r="C22" s="664"/>
      <c r="D22" s="664"/>
      <c r="E22" s="665"/>
      <c r="F22" s="666"/>
      <c r="G22" s="667"/>
      <c r="H22" s="603"/>
    </row>
    <row r="23" spans="2:8" ht="16.5" thickBot="1">
      <c r="B23" s="90" t="s">
        <v>5958</v>
      </c>
      <c r="C23" s="219"/>
      <c r="D23" s="131"/>
      <c r="E23" s="220"/>
      <c r="F23" s="604"/>
      <c r="G23" s="91"/>
      <c r="H23" s="605"/>
    </row>
    <row r="24" spans="2:8">
      <c r="B24" s="556" t="s">
        <v>4837</v>
      </c>
      <c r="C24" s="557"/>
      <c r="D24" s="557"/>
      <c r="E24" s="557"/>
      <c r="F24" s="557"/>
      <c r="G24" s="92"/>
    </row>
  </sheetData>
  <mergeCells count="1">
    <mergeCell ref="B24:F24"/>
  </mergeCells>
  <printOptions horizontalCentered="1"/>
  <pageMargins left="0.62992125984251968" right="0.23622047244094491" top="0.59055118110236227" bottom="0.47244094488188981" header="0.31496062992125984" footer="0.11811023622047245"/>
  <pageSetup paperSize="119" scale="74" fitToHeight="0" orientation="portrait" verticalDpi="1200" r:id="rId1"/>
  <headerFooter>
    <oddFooter>&amp;CPágina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3600"/>
  <sheetViews>
    <sheetView zoomScale="85" zoomScaleNormal="85" workbookViewId="0">
      <selection activeCell="G3433" sqref="G3433"/>
    </sheetView>
  </sheetViews>
  <sheetFormatPr defaultColWidth="11.42578125" defaultRowHeight="12.75"/>
  <cols>
    <col min="1" max="1" width="2.5703125" style="4" customWidth="1"/>
    <col min="2" max="2" width="11.42578125" style="60" customWidth="1"/>
    <col min="3" max="3" width="7.85546875" style="58" customWidth="1"/>
    <col min="4" max="4" width="70.140625" style="4" customWidth="1"/>
    <col min="5" max="5" width="5.85546875" style="4" customWidth="1"/>
    <col min="6" max="6" width="10" style="59" customWidth="1"/>
    <col min="7" max="7" width="13.7109375" style="57" customWidth="1"/>
    <col min="8" max="8" width="16" style="4" customWidth="1"/>
    <col min="9" max="16384" width="11.42578125" style="4"/>
  </cols>
  <sheetData>
    <row r="1" spans="2:8">
      <c r="B1" s="63" t="str">
        <f>+Resumen!B1</f>
        <v>CORTE SUPREMA DE JUSTICIA - PROGRAMA DE LAS NACIONES UNIDAS PARA EL DESARROLLO</v>
      </c>
      <c r="C1" s="560"/>
      <c r="D1" s="560"/>
      <c r="E1" s="560"/>
      <c r="F1" s="560"/>
      <c r="G1" s="560"/>
      <c r="H1" s="560"/>
    </row>
    <row r="2" spans="2:8">
      <c r="B2" s="63" t="str">
        <f>+Resumen!B2</f>
        <v>"PROGRAMA DE INFRAESTRUCTURA EDILICIA CSJ - PNUD"</v>
      </c>
      <c r="C2" s="560"/>
      <c r="D2" s="560"/>
      <c r="E2" s="560"/>
      <c r="F2" s="560"/>
      <c r="G2" s="560"/>
      <c r="H2" s="560"/>
    </row>
    <row r="3" spans="2:8">
      <c r="B3" s="63" t="str">
        <f>+Resumen!B3</f>
        <v>SDP/00014311/573/2020 - OBRAS CIVILES, INSTALACIONES Y MANTENIMIENTO POSTERIOR - PALACIO DE JUSTICIA DE SALTO DEL GUAIRÁ.</v>
      </c>
      <c r="C3" s="560"/>
      <c r="D3" s="560"/>
      <c r="E3" s="560"/>
      <c r="F3" s="560"/>
      <c r="G3" s="560"/>
      <c r="H3" s="560"/>
    </row>
    <row r="4" spans="2:8" ht="5.25" customHeight="1" thickBot="1">
      <c r="B4" s="55"/>
      <c r="C4" s="56"/>
      <c r="D4" s="561"/>
      <c r="E4" s="561"/>
      <c r="F4" s="562"/>
      <c r="G4" s="563"/>
      <c r="H4" s="563"/>
    </row>
    <row r="5" spans="2:8" ht="18.75" thickBot="1">
      <c r="B5" s="69" t="s">
        <v>44</v>
      </c>
      <c r="C5" s="564"/>
      <c r="D5" s="70"/>
      <c r="E5" s="564"/>
      <c r="F5" s="565"/>
      <c r="G5" s="566"/>
      <c r="H5" s="567"/>
    </row>
    <row r="6" spans="2:8">
      <c r="B6" s="76" t="s">
        <v>45</v>
      </c>
      <c r="C6" s="77" t="s">
        <v>46</v>
      </c>
      <c r="D6" s="77" t="s">
        <v>47</v>
      </c>
      <c r="E6" s="77" t="s">
        <v>48</v>
      </c>
      <c r="F6" s="78" t="s">
        <v>49</v>
      </c>
      <c r="G6" s="79" t="s">
        <v>50</v>
      </c>
      <c r="H6" s="80" t="s">
        <v>6</v>
      </c>
    </row>
    <row r="7" spans="2:8" ht="13.5" thickBot="1">
      <c r="B7" s="93"/>
      <c r="C7" s="94" t="s">
        <v>51</v>
      </c>
      <c r="D7" s="94"/>
      <c r="E7" s="95"/>
      <c r="F7" s="96"/>
      <c r="G7" s="127" t="s">
        <v>8</v>
      </c>
      <c r="H7" s="128" t="s">
        <v>8</v>
      </c>
    </row>
    <row r="8" spans="2:8" ht="15.75">
      <c r="B8" s="194">
        <v>1</v>
      </c>
      <c r="C8" s="327" t="s">
        <v>9</v>
      </c>
      <c r="D8" s="328" t="s">
        <v>52</v>
      </c>
      <c r="E8" s="329"/>
      <c r="F8" s="210"/>
      <c r="G8" s="211"/>
      <c r="H8" s="212"/>
    </row>
    <row r="9" spans="2:8">
      <c r="B9" s="129" t="s">
        <v>53</v>
      </c>
      <c r="C9" s="198" t="s">
        <v>11</v>
      </c>
      <c r="D9" s="310" t="s">
        <v>54</v>
      </c>
      <c r="E9" s="198" t="s">
        <v>55</v>
      </c>
      <c r="F9" s="281">
        <v>17550</v>
      </c>
      <c r="G9" s="229"/>
      <c r="H9" s="230"/>
    </row>
    <row r="10" spans="2:8" ht="38.25">
      <c r="B10" s="129" t="s">
        <v>56</v>
      </c>
      <c r="C10" s="198" t="s">
        <v>57</v>
      </c>
      <c r="D10" s="182" t="s">
        <v>58</v>
      </c>
      <c r="E10" s="130" t="s">
        <v>59</v>
      </c>
      <c r="F10" s="515">
        <v>1</v>
      </c>
      <c r="G10" s="229"/>
      <c r="H10" s="230"/>
    </row>
    <row r="11" spans="2:8">
      <c r="B11" s="129" t="s">
        <v>60</v>
      </c>
      <c r="C11" s="198" t="s">
        <v>21</v>
      </c>
      <c r="D11" s="310" t="s">
        <v>61</v>
      </c>
      <c r="E11" s="198" t="s">
        <v>55</v>
      </c>
      <c r="F11" s="281">
        <v>15700</v>
      </c>
      <c r="G11" s="229"/>
      <c r="H11" s="230"/>
    </row>
    <row r="12" spans="2:8" ht="15.75">
      <c r="B12" s="185">
        <v>2</v>
      </c>
      <c r="C12" s="308" t="s">
        <v>30</v>
      </c>
      <c r="D12" s="309" t="s">
        <v>62</v>
      </c>
      <c r="E12" s="311"/>
      <c r="F12" s="282"/>
      <c r="G12" s="231"/>
      <c r="H12" s="232"/>
    </row>
    <row r="13" spans="2:8" ht="15">
      <c r="B13" s="186" t="s">
        <v>63</v>
      </c>
      <c r="C13" s="312"/>
      <c r="D13" s="313" t="s">
        <v>64</v>
      </c>
      <c r="E13" s="314"/>
      <c r="F13" s="283"/>
      <c r="G13" s="233"/>
      <c r="H13" s="234"/>
    </row>
    <row r="14" spans="2:8">
      <c r="B14" s="183" t="s">
        <v>65</v>
      </c>
      <c r="C14" s="198" t="s">
        <v>32</v>
      </c>
      <c r="D14" s="315" t="s">
        <v>66</v>
      </c>
      <c r="E14" s="195" t="s">
        <v>55</v>
      </c>
      <c r="F14" s="281">
        <f>+F9</f>
        <v>17550</v>
      </c>
      <c r="G14" s="229"/>
      <c r="H14" s="235"/>
    </row>
    <row r="15" spans="2:8">
      <c r="B15" s="183" t="s">
        <v>67</v>
      </c>
      <c r="C15" s="198" t="s">
        <v>32</v>
      </c>
      <c r="D15" s="310" t="s">
        <v>68</v>
      </c>
      <c r="E15" s="198" t="s">
        <v>69</v>
      </c>
      <c r="F15" s="281">
        <v>17528</v>
      </c>
      <c r="G15" s="229"/>
      <c r="H15" s="230"/>
    </row>
    <row r="16" spans="2:8">
      <c r="B16" s="197" t="s">
        <v>70</v>
      </c>
      <c r="C16" s="316" t="s">
        <v>33</v>
      </c>
      <c r="D16" s="317" t="s">
        <v>71</v>
      </c>
      <c r="E16" s="316" t="s">
        <v>69</v>
      </c>
      <c r="F16" s="284"/>
      <c r="G16" s="236"/>
      <c r="H16" s="237"/>
    </row>
    <row r="17" spans="2:8">
      <c r="B17" s="197" t="s">
        <v>72</v>
      </c>
      <c r="C17" s="316" t="s">
        <v>33</v>
      </c>
      <c r="D17" s="317" t="s">
        <v>73</v>
      </c>
      <c r="E17" s="316" t="s">
        <v>69</v>
      </c>
      <c r="F17" s="284"/>
      <c r="G17" s="236"/>
      <c r="H17" s="237"/>
    </row>
    <row r="18" spans="2:8">
      <c r="B18" s="129" t="s">
        <v>74</v>
      </c>
      <c r="C18" s="198" t="s">
        <v>32</v>
      </c>
      <c r="D18" s="310" t="s">
        <v>75</v>
      </c>
      <c r="E18" s="198" t="s">
        <v>69</v>
      </c>
      <c r="F18" s="281">
        <v>2500</v>
      </c>
      <c r="G18" s="229"/>
      <c r="H18" s="230"/>
    </row>
    <row r="19" spans="2:8">
      <c r="B19" s="183" t="s">
        <v>76</v>
      </c>
      <c r="C19" s="198" t="s">
        <v>33</v>
      </c>
      <c r="D19" s="310" t="s">
        <v>77</v>
      </c>
      <c r="E19" s="198" t="s">
        <v>69</v>
      </c>
      <c r="F19" s="281">
        <f>5*5*1.7</f>
        <v>42.5</v>
      </c>
      <c r="G19" s="229"/>
      <c r="H19" s="230"/>
    </row>
    <row r="20" spans="2:8">
      <c r="B20" s="183" t="s">
        <v>78</v>
      </c>
      <c r="C20" s="198" t="s">
        <v>33</v>
      </c>
      <c r="D20" s="310" t="s">
        <v>79</v>
      </c>
      <c r="E20" s="198" t="s">
        <v>69</v>
      </c>
      <c r="F20" s="281">
        <f>1*45</f>
        <v>45</v>
      </c>
      <c r="G20" s="229"/>
      <c r="H20" s="230"/>
    </row>
    <row r="21" spans="2:8" ht="15">
      <c r="B21" s="186" t="s">
        <v>80</v>
      </c>
      <c r="C21" s="312"/>
      <c r="D21" s="313" t="s">
        <v>81</v>
      </c>
      <c r="E21" s="314"/>
      <c r="F21" s="283"/>
      <c r="G21" s="233"/>
      <c r="H21" s="234"/>
    </row>
    <row r="22" spans="2:8" ht="25.5">
      <c r="B22" s="129" t="s">
        <v>82</v>
      </c>
      <c r="C22" s="198" t="s">
        <v>35</v>
      </c>
      <c r="D22" s="310" t="s">
        <v>83</v>
      </c>
      <c r="E22" s="198" t="s">
        <v>69</v>
      </c>
      <c r="F22" s="281">
        <v>1350</v>
      </c>
      <c r="G22" s="229"/>
      <c r="H22" s="230"/>
    </row>
    <row r="23" spans="2:8">
      <c r="B23" s="129" t="s">
        <v>84</v>
      </c>
      <c r="C23" s="198" t="s">
        <v>35</v>
      </c>
      <c r="D23" s="310" t="s">
        <v>85</v>
      </c>
      <c r="E23" s="198" t="s">
        <v>69</v>
      </c>
      <c r="F23" s="281">
        <f>260+2360+2975</f>
        <v>5595</v>
      </c>
      <c r="G23" s="229"/>
      <c r="H23" s="230"/>
    </row>
    <row r="24" spans="2:8" ht="25.5">
      <c r="B24" s="129" t="s">
        <v>86</v>
      </c>
      <c r="C24" s="198" t="s">
        <v>35</v>
      </c>
      <c r="D24" s="310" t="s">
        <v>87</v>
      </c>
      <c r="E24" s="198" t="s">
        <v>69</v>
      </c>
      <c r="F24" s="281">
        <f>(280+1200+2400+1700)-2400</f>
        <v>3180</v>
      </c>
      <c r="G24" s="229"/>
      <c r="H24" s="230"/>
    </row>
    <row r="25" spans="2:8">
      <c r="B25" s="129" t="s">
        <v>88</v>
      </c>
      <c r="C25" s="198" t="s">
        <v>35</v>
      </c>
      <c r="D25" s="310" t="s">
        <v>89</v>
      </c>
      <c r="E25" s="198" t="s">
        <v>69</v>
      </c>
      <c r="F25" s="281">
        <v>1428</v>
      </c>
      <c r="G25" s="229"/>
      <c r="H25" s="230"/>
    </row>
    <row r="26" spans="2:8">
      <c r="B26" s="129" t="s">
        <v>90</v>
      </c>
      <c r="C26" s="198" t="s">
        <v>35</v>
      </c>
      <c r="D26" s="310" t="s">
        <v>91</v>
      </c>
      <c r="E26" s="198" t="s">
        <v>69</v>
      </c>
      <c r="F26" s="281">
        <v>2400</v>
      </c>
      <c r="G26" s="229"/>
      <c r="H26" s="232"/>
    </row>
    <row r="27" spans="2:8" ht="15.75">
      <c r="B27" s="185">
        <v>3</v>
      </c>
      <c r="C27" s="308" t="s">
        <v>92</v>
      </c>
      <c r="D27" s="309" t="s">
        <v>93</v>
      </c>
      <c r="E27" s="311"/>
      <c r="F27" s="282"/>
      <c r="G27" s="231"/>
      <c r="H27" s="232"/>
    </row>
    <row r="28" spans="2:8" ht="15">
      <c r="B28" s="186" t="s">
        <v>94</v>
      </c>
      <c r="C28" s="312"/>
      <c r="D28" s="313" t="s">
        <v>95</v>
      </c>
      <c r="E28" s="314"/>
      <c r="F28" s="283"/>
      <c r="G28" s="233"/>
      <c r="H28" s="234"/>
    </row>
    <row r="29" spans="2:8" ht="51">
      <c r="B29" s="197" t="s">
        <v>96</v>
      </c>
      <c r="C29" s="316" t="s">
        <v>97</v>
      </c>
      <c r="D29" s="318" t="s">
        <v>98</v>
      </c>
      <c r="E29" s="316" t="s">
        <v>99</v>
      </c>
      <c r="F29" s="284"/>
      <c r="G29" s="236"/>
      <c r="H29" s="237"/>
    </row>
    <row r="30" spans="2:8" ht="51">
      <c r="B30" s="197" t="s">
        <v>100</v>
      </c>
      <c r="C30" s="316" t="s">
        <v>97</v>
      </c>
      <c r="D30" s="318" t="s">
        <v>101</v>
      </c>
      <c r="E30" s="316" t="s">
        <v>99</v>
      </c>
      <c r="F30" s="284"/>
      <c r="G30" s="236"/>
      <c r="H30" s="237"/>
    </row>
    <row r="31" spans="2:8" ht="38.25">
      <c r="B31" s="197" t="s">
        <v>102</v>
      </c>
      <c r="C31" s="316" t="s">
        <v>97</v>
      </c>
      <c r="D31" s="318" t="s">
        <v>103</v>
      </c>
      <c r="E31" s="316" t="s">
        <v>99</v>
      </c>
      <c r="F31" s="284"/>
      <c r="G31" s="236"/>
      <c r="H31" s="237"/>
    </row>
    <row r="32" spans="2:8" ht="51">
      <c r="B32" s="197" t="s">
        <v>104</v>
      </c>
      <c r="C32" s="316" t="s">
        <v>97</v>
      </c>
      <c r="D32" s="318" t="s">
        <v>105</v>
      </c>
      <c r="E32" s="316" t="s">
        <v>99</v>
      </c>
      <c r="F32" s="284"/>
      <c r="G32" s="236"/>
      <c r="H32" s="237"/>
    </row>
    <row r="33" spans="2:8" ht="51">
      <c r="B33" s="197" t="s">
        <v>106</v>
      </c>
      <c r="C33" s="316" t="s">
        <v>97</v>
      </c>
      <c r="D33" s="318" t="s">
        <v>107</v>
      </c>
      <c r="E33" s="316" t="s">
        <v>99</v>
      </c>
      <c r="F33" s="284"/>
      <c r="G33" s="236"/>
      <c r="H33" s="237"/>
    </row>
    <row r="34" spans="2:8">
      <c r="B34" s="197" t="s">
        <v>108</v>
      </c>
      <c r="C34" s="316" t="s">
        <v>109</v>
      </c>
      <c r="D34" s="318" t="s">
        <v>110</v>
      </c>
      <c r="E34" s="316" t="s">
        <v>69</v>
      </c>
      <c r="F34" s="284"/>
      <c r="G34" s="236"/>
      <c r="H34" s="237"/>
    </row>
    <row r="35" spans="2:8" ht="15">
      <c r="B35" s="186" t="s">
        <v>111</v>
      </c>
      <c r="C35" s="312"/>
      <c r="D35" s="313" t="s">
        <v>112</v>
      </c>
      <c r="E35" s="314"/>
      <c r="F35" s="283"/>
      <c r="G35" s="233"/>
      <c r="H35" s="234"/>
    </row>
    <row r="36" spans="2:8">
      <c r="B36" s="197" t="s">
        <v>113</v>
      </c>
      <c r="C36" s="204"/>
      <c r="D36" s="319"/>
      <c r="E36" s="320"/>
      <c r="F36" s="285"/>
      <c r="G36" s="236"/>
      <c r="H36" s="237"/>
    </row>
    <row r="37" spans="2:8">
      <c r="B37" s="197" t="s">
        <v>114</v>
      </c>
      <c r="C37" s="316"/>
      <c r="D37" s="321"/>
      <c r="E37" s="322"/>
      <c r="F37" s="284"/>
      <c r="G37" s="236"/>
      <c r="H37" s="237"/>
    </row>
    <row r="38" spans="2:8">
      <c r="B38" s="197" t="s">
        <v>115</v>
      </c>
      <c r="C38" s="316"/>
      <c r="D38" s="318"/>
      <c r="E38" s="316"/>
      <c r="F38" s="284"/>
      <c r="G38" s="236"/>
      <c r="H38" s="237"/>
    </row>
    <row r="39" spans="2:8" ht="15">
      <c r="B39" s="186" t="s">
        <v>116</v>
      </c>
      <c r="C39" s="312"/>
      <c r="D39" s="313" t="s">
        <v>117</v>
      </c>
      <c r="E39" s="314"/>
      <c r="F39" s="283"/>
      <c r="G39" s="233"/>
      <c r="H39" s="234"/>
    </row>
    <row r="40" spans="2:8">
      <c r="B40" s="197" t="s">
        <v>118</v>
      </c>
      <c r="C40" s="316"/>
      <c r="D40" s="318"/>
      <c r="E40" s="316"/>
      <c r="F40" s="284"/>
      <c r="G40" s="236"/>
      <c r="H40" s="237"/>
    </row>
    <row r="41" spans="2:8">
      <c r="B41" s="197" t="s">
        <v>119</v>
      </c>
      <c r="C41" s="316"/>
      <c r="D41" s="318"/>
      <c r="E41" s="316"/>
      <c r="F41" s="284"/>
      <c r="G41" s="236"/>
      <c r="H41" s="237"/>
    </row>
    <row r="42" spans="2:8" ht="15">
      <c r="B42" s="186" t="s">
        <v>120</v>
      </c>
      <c r="C42" s="312"/>
      <c r="D42" s="313" t="s">
        <v>121</v>
      </c>
      <c r="E42" s="314"/>
      <c r="F42" s="283"/>
      <c r="G42" s="233"/>
      <c r="H42" s="234"/>
    </row>
    <row r="43" spans="2:8">
      <c r="B43" s="197" t="s">
        <v>120</v>
      </c>
      <c r="C43" s="316"/>
      <c r="D43" s="318"/>
      <c r="E43" s="316"/>
      <c r="F43" s="284"/>
      <c r="G43" s="236"/>
      <c r="H43" s="237"/>
    </row>
    <row r="44" spans="2:8">
      <c r="B44" s="197" t="s">
        <v>122</v>
      </c>
      <c r="C44" s="316"/>
      <c r="D44" s="318"/>
      <c r="E44" s="316"/>
      <c r="F44" s="284"/>
      <c r="G44" s="236"/>
      <c r="H44" s="237"/>
    </row>
    <row r="45" spans="2:8" ht="15">
      <c r="B45" s="186" t="s">
        <v>122</v>
      </c>
      <c r="C45" s="312"/>
      <c r="D45" s="313" t="s">
        <v>123</v>
      </c>
      <c r="E45" s="314"/>
      <c r="F45" s="283"/>
      <c r="G45" s="233"/>
      <c r="H45" s="234"/>
    </row>
    <row r="46" spans="2:8">
      <c r="B46" s="197" t="s">
        <v>124</v>
      </c>
      <c r="C46" s="316" t="s">
        <v>125</v>
      </c>
      <c r="D46" s="318" t="s">
        <v>126</v>
      </c>
      <c r="E46" s="316" t="s">
        <v>69</v>
      </c>
      <c r="F46" s="284"/>
      <c r="G46" s="236"/>
      <c r="H46" s="237"/>
    </row>
    <row r="47" spans="2:8">
      <c r="B47" s="197" t="s">
        <v>127</v>
      </c>
      <c r="C47" s="316" t="s">
        <v>128</v>
      </c>
      <c r="D47" s="318" t="s">
        <v>129</v>
      </c>
      <c r="E47" s="316" t="s">
        <v>69</v>
      </c>
      <c r="F47" s="284"/>
      <c r="G47" s="236"/>
      <c r="H47" s="237"/>
    </row>
    <row r="48" spans="2:8" ht="15.75">
      <c r="B48" s="185">
        <v>4</v>
      </c>
      <c r="C48" s="308" t="s">
        <v>130</v>
      </c>
      <c r="D48" s="309" t="s">
        <v>131</v>
      </c>
      <c r="E48" s="311"/>
      <c r="F48" s="282"/>
      <c r="G48" s="231"/>
      <c r="H48" s="232"/>
    </row>
    <row r="49" spans="2:8" ht="15">
      <c r="B49" s="186" t="s">
        <v>132</v>
      </c>
      <c r="C49" s="312"/>
      <c r="D49" s="313" t="s">
        <v>133</v>
      </c>
      <c r="E49" s="314"/>
      <c r="F49" s="283"/>
      <c r="G49" s="233"/>
      <c r="H49" s="234"/>
    </row>
    <row r="50" spans="2:8" ht="25.5">
      <c r="B50" s="197" t="s">
        <v>134</v>
      </c>
      <c r="C50" s="316" t="s">
        <v>135</v>
      </c>
      <c r="D50" s="317" t="s">
        <v>136</v>
      </c>
      <c r="E50" s="322" t="s">
        <v>69</v>
      </c>
      <c r="F50" s="284"/>
      <c r="G50" s="236"/>
      <c r="H50" s="237"/>
    </row>
    <row r="51" spans="2:8">
      <c r="B51" s="197" t="s">
        <v>137</v>
      </c>
      <c r="C51" s="316" t="s">
        <v>138</v>
      </c>
      <c r="D51" s="321" t="s">
        <v>139</v>
      </c>
      <c r="E51" s="322" t="s">
        <v>69</v>
      </c>
      <c r="F51" s="284"/>
      <c r="G51" s="236"/>
      <c r="H51" s="237"/>
    </row>
    <row r="52" spans="2:8">
      <c r="B52" s="197" t="s">
        <v>140</v>
      </c>
      <c r="C52" s="316" t="s">
        <v>128</v>
      </c>
      <c r="D52" s="321" t="s">
        <v>141</v>
      </c>
      <c r="E52" s="322" t="s">
        <v>69</v>
      </c>
      <c r="F52" s="284"/>
      <c r="G52" s="236"/>
      <c r="H52" s="237"/>
    </row>
    <row r="53" spans="2:8" ht="25.5">
      <c r="B53" s="197" t="s">
        <v>142</v>
      </c>
      <c r="C53" s="316" t="s">
        <v>135</v>
      </c>
      <c r="D53" s="321" t="s">
        <v>143</v>
      </c>
      <c r="E53" s="322" t="s">
        <v>69</v>
      </c>
      <c r="F53" s="284"/>
      <c r="G53" s="236"/>
      <c r="H53" s="237"/>
    </row>
    <row r="54" spans="2:8">
      <c r="B54" s="197" t="s">
        <v>144</v>
      </c>
      <c r="C54" s="316" t="s">
        <v>145</v>
      </c>
      <c r="D54" s="321" t="s">
        <v>146</v>
      </c>
      <c r="E54" s="322" t="s">
        <v>69</v>
      </c>
      <c r="F54" s="284"/>
      <c r="G54" s="236"/>
      <c r="H54" s="237"/>
    </row>
    <row r="55" spans="2:8" ht="15">
      <c r="B55" s="186" t="s">
        <v>147</v>
      </c>
      <c r="C55" s="312"/>
      <c r="D55" s="313" t="s">
        <v>148</v>
      </c>
      <c r="E55" s="314"/>
      <c r="F55" s="283"/>
      <c r="G55" s="233"/>
      <c r="H55" s="234"/>
    </row>
    <row r="56" spans="2:8">
      <c r="B56" s="129" t="s">
        <v>149</v>
      </c>
      <c r="C56" s="198" t="s">
        <v>138</v>
      </c>
      <c r="D56" s="353" t="s">
        <v>150</v>
      </c>
      <c r="E56" s="460" t="s">
        <v>69</v>
      </c>
      <c r="F56" s="281">
        <v>74.813999999999993</v>
      </c>
      <c r="G56" s="229"/>
      <c r="H56" s="230"/>
    </row>
    <row r="57" spans="2:8">
      <c r="B57" s="129" t="s">
        <v>151</v>
      </c>
      <c r="C57" s="198" t="s">
        <v>128</v>
      </c>
      <c r="D57" s="332" t="s">
        <v>141</v>
      </c>
      <c r="E57" s="460" t="s">
        <v>69</v>
      </c>
      <c r="F57" s="281">
        <v>33.93</v>
      </c>
      <c r="G57" s="229"/>
      <c r="H57" s="230"/>
    </row>
    <row r="58" spans="2:8" ht="25.5">
      <c r="B58" s="129" t="s">
        <v>152</v>
      </c>
      <c r="C58" s="198" t="s">
        <v>135</v>
      </c>
      <c r="D58" s="332" t="s">
        <v>153</v>
      </c>
      <c r="E58" s="460" t="s">
        <v>69</v>
      </c>
      <c r="F58" s="281">
        <f>53.82+7.02</f>
        <v>60.84</v>
      </c>
      <c r="G58" s="229"/>
      <c r="H58" s="230"/>
    </row>
    <row r="59" spans="2:8">
      <c r="B59" s="129" t="s">
        <v>154</v>
      </c>
      <c r="C59" s="198" t="s">
        <v>145</v>
      </c>
      <c r="D59" s="332" t="s">
        <v>155</v>
      </c>
      <c r="E59" s="460" t="s">
        <v>69</v>
      </c>
      <c r="F59" s="281">
        <v>1.69</v>
      </c>
      <c r="G59" s="229"/>
      <c r="H59" s="230"/>
    </row>
    <row r="60" spans="2:8" ht="15">
      <c r="B60" s="186" t="s">
        <v>156</v>
      </c>
      <c r="C60" s="312"/>
      <c r="D60" s="313" t="s">
        <v>157</v>
      </c>
      <c r="E60" s="314"/>
      <c r="F60" s="283"/>
      <c r="G60" s="233"/>
      <c r="H60" s="234"/>
    </row>
    <row r="61" spans="2:8">
      <c r="B61" s="129" t="s">
        <v>158</v>
      </c>
      <c r="C61" s="198" t="s">
        <v>138</v>
      </c>
      <c r="D61" s="353" t="s">
        <v>150</v>
      </c>
      <c r="E61" s="460" t="s">
        <v>69</v>
      </c>
      <c r="F61" s="281">
        <v>97.3</v>
      </c>
      <c r="G61" s="229"/>
      <c r="H61" s="230"/>
    </row>
    <row r="62" spans="2:8">
      <c r="B62" s="129" t="s">
        <v>158</v>
      </c>
      <c r="C62" s="198" t="s">
        <v>128</v>
      </c>
      <c r="D62" s="310" t="s">
        <v>141</v>
      </c>
      <c r="E62" s="460" t="s">
        <v>69</v>
      </c>
      <c r="F62" s="281">
        <v>118.01</v>
      </c>
      <c r="G62" s="229"/>
      <c r="H62" s="230"/>
    </row>
    <row r="63" spans="2:8">
      <c r="B63" s="129" t="s">
        <v>159</v>
      </c>
      <c r="C63" s="198" t="s">
        <v>160</v>
      </c>
      <c r="D63" s="310" t="s">
        <v>161</v>
      </c>
      <c r="E63" s="460" t="s">
        <v>69</v>
      </c>
      <c r="F63" s="281">
        <v>873.91</v>
      </c>
      <c r="G63" s="229"/>
      <c r="H63" s="230"/>
    </row>
    <row r="64" spans="2:8">
      <c r="B64" s="129" t="s">
        <v>162</v>
      </c>
      <c r="C64" s="198" t="s">
        <v>163</v>
      </c>
      <c r="D64" s="310" t="s">
        <v>164</v>
      </c>
      <c r="E64" s="460" t="s">
        <v>69</v>
      </c>
      <c r="F64" s="281">
        <v>218.15</v>
      </c>
      <c r="G64" s="229"/>
      <c r="H64" s="230"/>
    </row>
    <row r="65" spans="2:8">
      <c r="B65" s="129" t="s">
        <v>165</v>
      </c>
      <c r="C65" s="198" t="s">
        <v>145</v>
      </c>
      <c r="D65" s="310" t="s">
        <v>155</v>
      </c>
      <c r="E65" s="460" t="s">
        <v>69</v>
      </c>
      <c r="F65" s="281">
        <v>14.23</v>
      </c>
      <c r="G65" s="229"/>
      <c r="H65" s="230"/>
    </row>
    <row r="66" spans="2:8" ht="15">
      <c r="B66" s="186" t="s">
        <v>166</v>
      </c>
      <c r="C66" s="312"/>
      <c r="D66" s="313" t="s">
        <v>167</v>
      </c>
      <c r="E66" s="314"/>
      <c r="F66" s="283"/>
      <c r="G66" s="233"/>
      <c r="H66" s="234"/>
    </row>
    <row r="67" spans="2:8">
      <c r="B67" s="129" t="s">
        <v>168</v>
      </c>
      <c r="C67" s="198" t="s">
        <v>128</v>
      </c>
      <c r="D67" s="310" t="s">
        <v>141</v>
      </c>
      <c r="E67" s="460" t="s">
        <v>69</v>
      </c>
      <c r="F67" s="281">
        <v>76.349999999999994</v>
      </c>
      <c r="G67" s="229"/>
      <c r="H67" s="230"/>
    </row>
    <row r="68" spans="2:8">
      <c r="B68" s="129" t="s">
        <v>169</v>
      </c>
      <c r="C68" s="198" t="s">
        <v>160</v>
      </c>
      <c r="D68" s="310" t="s">
        <v>161</v>
      </c>
      <c r="E68" s="460" t="s">
        <v>69</v>
      </c>
      <c r="F68" s="281">
        <v>323.38</v>
      </c>
      <c r="G68" s="229"/>
      <c r="H68" s="230"/>
    </row>
    <row r="69" spans="2:8">
      <c r="B69" s="129" t="s">
        <v>170</v>
      </c>
      <c r="C69" s="198" t="s">
        <v>163</v>
      </c>
      <c r="D69" s="310" t="s">
        <v>164</v>
      </c>
      <c r="E69" s="460" t="s">
        <v>69</v>
      </c>
      <c r="F69" s="281">
        <v>67.5</v>
      </c>
      <c r="G69" s="229"/>
      <c r="H69" s="230"/>
    </row>
    <row r="70" spans="2:8">
      <c r="B70" s="129" t="s">
        <v>171</v>
      </c>
      <c r="C70" s="198" t="s">
        <v>145</v>
      </c>
      <c r="D70" s="310" t="s">
        <v>155</v>
      </c>
      <c r="E70" s="460" t="s">
        <v>69</v>
      </c>
      <c r="F70" s="281">
        <v>14.64</v>
      </c>
      <c r="G70" s="229"/>
      <c r="H70" s="230"/>
    </row>
    <row r="71" spans="2:8" ht="15">
      <c r="B71" s="186" t="s">
        <v>172</v>
      </c>
      <c r="C71" s="312"/>
      <c r="D71" s="313" t="s">
        <v>173</v>
      </c>
      <c r="E71" s="314"/>
      <c r="F71" s="283"/>
      <c r="G71" s="233"/>
      <c r="H71" s="234"/>
    </row>
    <row r="72" spans="2:8">
      <c r="B72" s="129" t="s">
        <v>174</v>
      </c>
      <c r="C72" s="198" t="s">
        <v>128</v>
      </c>
      <c r="D72" s="310" t="s">
        <v>141</v>
      </c>
      <c r="E72" s="460" t="s">
        <v>69</v>
      </c>
      <c r="F72" s="281">
        <v>60.26</v>
      </c>
      <c r="G72" s="229"/>
      <c r="H72" s="230"/>
    </row>
    <row r="73" spans="2:8">
      <c r="B73" s="129" t="s">
        <v>175</v>
      </c>
      <c r="C73" s="198" t="s">
        <v>160</v>
      </c>
      <c r="D73" s="310" t="s">
        <v>161</v>
      </c>
      <c r="E73" s="460" t="s">
        <v>69</v>
      </c>
      <c r="F73" s="281">
        <v>307.54000000000002</v>
      </c>
      <c r="G73" s="229"/>
      <c r="H73" s="230"/>
    </row>
    <row r="74" spans="2:8">
      <c r="B74" s="129" t="s">
        <v>176</v>
      </c>
      <c r="C74" s="198" t="s">
        <v>163</v>
      </c>
      <c r="D74" s="310" t="s">
        <v>164</v>
      </c>
      <c r="E74" s="460" t="s">
        <v>69</v>
      </c>
      <c r="F74" s="281">
        <v>63.69</v>
      </c>
      <c r="G74" s="229"/>
      <c r="H74" s="230"/>
    </row>
    <row r="75" spans="2:8">
      <c r="B75" s="129" t="s">
        <v>177</v>
      </c>
      <c r="C75" s="198" t="s">
        <v>145</v>
      </c>
      <c r="D75" s="310" t="s">
        <v>155</v>
      </c>
      <c r="E75" s="460" t="s">
        <v>69</v>
      </c>
      <c r="F75" s="281">
        <v>14.64</v>
      </c>
      <c r="G75" s="229"/>
      <c r="H75" s="230"/>
    </row>
    <row r="76" spans="2:8" ht="15">
      <c r="B76" s="186" t="s">
        <v>178</v>
      </c>
      <c r="C76" s="312"/>
      <c r="D76" s="313" t="s">
        <v>179</v>
      </c>
      <c r="E76" s="314"/>
      <c r="F76" s="283"/>
      <c r="G76" s="233"/>
      <c r="H76" s="234"/>
    </row>
    <row r="77" spans="2:8">
      <c r="B77" s="129" t="s">
        <v>180</v>
      </c>
      <c r="C77" s="198" t="s">
        <v>128</v>
      </c>
      <c r="D77" s="310" t="s">
        <v>141</v>
      </c>
      <c r="E77" s="460" t="s">
        <v>69</v>
      </c>
      <c r="F77" s="281">
        <v>51.9</v>
      </c>
      <c r="G77" s="229"/>
      <c r="H77" s="230"/>
    </row>
    <row r="78" spans="2:8">
      <c r="B78" s="129" t="s">
        <v>181</v>
      </c>
      <c r="C78" s="198" t="s">
        <v>160</v>
      </c>
      <c r="D78" s="310" t="s">
        <v>161</v>
      </c>
      <c r="E78" s="460" t="s">
        <v>69</v>
      </c>
      <c r="F78" s="281">
        <v>259.87</v>
      </c>
      <c r="G78" s="229"/>
      <c r="H78" s="230"/>
    </row>
    <row r="79" spans="2:8">
      <c r="B79" s="129" t="s">
        <v>182</v>
      </c>
      <c r="C79" s="198" t="s">
        <v>163</v>
      </c>
      <c r="D79" s="310" t="s">
        <v>164</v>
      </c>
      <c r="E79" s="460" t="s">
        <v>69</v>
      </c>
      <c r="F79" s="281">
        <v>36.770000000000003</v>
      </c>
      <c r="G79" s="229"/>
      <c r="H79" s="230"/>
    </row>
    <row r="80" spans="2:8">
      <c r="B80" s="129" t="s">
        <v>183</v>
      </c>
      <c r="C80" s="198" t="s">
        <v>145</v>
      </c>
      <c r="D80" s="310" t="s">
        <v>155</v>
      </c>
      <c r="E80" s="460" t="s">
        <v>69</v>
      </c>
      <c r="F80" s="281">
        <v>14.64</v>
      </c>
      <c r="G80" s="229"/>
      <c r="H80" s="230"/>
    </row>
    <row r="81" spans="2:8" ht="15">
      <c r="B81" s="186" t="s">
        <v>184</v>
      </c>
      <c r="C81" s="312"/>
      <c r="D81" s="313" t="s">
        <v>185</v>
      </c>
      <c r="E81" s="314"/>
      <c r="F81" s="283"/>
      <c r="G81" s="233"/>
      <c r="H81" s="234"/>
    </row>
    <row r="82" spans="2:8">
      <c r="B82" s="129" t="s">
        <v>186</v>
      </c>
      <c r="C82" s="198" t="s">
        <v>128</v>
      </c>
      <c r="D82" s="310" t="s">
        <v>141</v>
      </c>
      <c r="E82" s="460" t="s">
        <v>69</v>
      </c>
      <c r="F82" s="281">
        <v>51.9</v>
      </c>
      <c r="G82" s="229"/>
      <c r="H82" s="230"/>
    </row>
    <row r="83" spans="2:8">
      <c r="B83" s="129" t="s">
        <v>187</v>
      </c>
      <c r="C83" s="198" t="s">
        <v>160</v>
      </c>
      <c r="D83" s="310" t="s">
        <v>161</v>
      </c>
      <c r="E83" s="460" t="s">
        <v>69</v>
      </c>
      <c r="F83" s="281">
        <v>296.60000000000002</v>
      </c>
      <c r="G83" s="229"/>
      <c r="H83" s="230"/>
    </row>
    <row r="84" spans="2:8">
      <c r="B84" s="129" t="s">
        <v>188</v>
      </c>
      <c r="C84" s="198" t="s">
        <v>163</v>
      </c>
      <c r="D84" s="310" t="s">
        <v>164</v>
      </c>
      <c r="E84" s="460" t="s">
        <v>69</v>
      </c>
      <c r="F84" s="281">
        <v>36.35</v>
      </c>
      <c r="G84" s="229"/>
      <c r="H84" s="230"/>
    </row>
    <row r="85" spans="2:8">
      <c r="B85" s="129" t="s">
        <v>189</v>
      </c>
      <c r="C85" s="198" t="s">
        <v>145</v>
      </c>
      <c r="D85" s="310" t="s">
        <v>155</v>
      </c>
      <c r="E85" s="460" t="s">
        <v>69</v>
      </c>
      <c r="F85" s="281">
        <v>14.64</v>
      </c>
      <c r="G85" s="229"/>
      <c r="H85" s="230"/>
    </row>
    <row r="86" spans="2:8" ht="15">
      <c r="B86" s="186" t="s">
        <v>190</v>
      </c>
      <c r="C86" s="312"/>
      <c r="D86" s="313" t="s">
        <v>191</v>
      </c>
      <c r="E86" s="314"/>
      <c r="F86" s="283"/>
      <c r="G86" s="233"/>
      <c r="H86" s="234"/>
    </row>
    <row r="87" spans="2:8">
      <c r="B87" s="129" t="s">
        <v>192</v>
      </c>
      <c r="C87" s="198" t="s">
        <v>128</v>
      </c>
      <c r="D87" s="310" t="s">
        <v>141</v>
      </c>
      <c r="E87" s="460" t="s">
        <v>69</v>
      </c>
      <c r="F87" s="281">
        <v>38.15</v>
      </c>
      <c r="G87" s="229"/>
      <c r="H87" s="230"/>
    </row>
    <row r="88" spans="2:8">
      <c r="B88" s="129" t="s">
        <v>193</v>
      </c>
      <c r="C88" s="198" t="s">
        <v>160</v>
      </c>
      <c r="D88" s="310" t="s">
        <v>161</v>
      </c>
      <c r="E88" s="460" t="s">
        <v>69</v>
      </c>
      <c r="F88" s="281">
        <v>151.59</v>
      </c>
      <c r="G88" s="229"/>
      <c r="H88" s="230"/>
    </row>
    <row r="89" spans="2:8">
      <c r="B89" s="129" t="s">
        <v>194</v>
      </c>
      <c r="C89" s="198" t="s">
        <v>163</v>
      </c>
      <c r="D89" s="310" t="s">
        <v>164</v>
      </c>
      <c r="E89" s="460" t="s">
        <v>69</v>
      </c>
      <c r="F89" s="281">
        <v>24.05</v>
      </c>
      <c r="G89" s="229"/>
      <c r="H89" s="230"/>
    </row>
    <row r="90" spans="2:8">
      <c r="B90" s="129" t="s">
        <v>195</v>
      </c>
      <c r="C90" s="198" t="s">
        <v>145</v>
      </c>
      <c r="D90" s="310" t="s">
        <v>155</v>
      </c>
      <c r="E90" s="460" t="s">
        <v>69</v>
      </c>
      <c r="F90" s="281">
        <v>14.64</v>
      </c>
      <c r="G90" s="229"/>
      <c r="H90" s="230"/>
    </row>
    <row r="91" spans="2:8" ht="15">
      <c r="B91" s="186" t="s">
        <v>196</v>
      </c>
      <c r="C91" s="312"/>
      <c r="D91" s="313" t="s">
        <v>197</v>
      </c>
      <c r="E91" s="314"/>
      <c r="F91" s="283"/>
      <c r="G91" s="233"/>
      <c r="H91" s="234"/>
    </row>
    <row r="92" spans="2:8">
      <c r="B92" s="129" t="s">
        <v>198</v>
      </c>
      <c r="C92" s="198" t="s">
        <v>128</v>
      </c>
      <c r="D92" s="310" t="s">
        <v>141</v>
      </c>
      <c r="E92" s="460" t="s">
        <v>69</v>
      </c>
      <c r="F92" s="281">
        <v>33.25</v>
      </c>
      <c r="G92" s="229"/>
      <c r="H92" s="230"/>
    </row>
    <row r="93" spans="2:8">
      <c r="B93" s="129" t="s">
        <v>199</v>
      </c>
      <c r="C93" s="198" t="s">
        <v>160</v>
      </c>
      <c r="D93" s="310" t="s">
        <v>161</v>
      </c>
      <c r="E93" s="460" t="s">
        <v>69</v>
      </c>
      <c r="F93" s="281">
        <v>193.87</v>
      </c>
      <c r="G93" s="229"/>
      <c r="H93" s="230"/>
    </row>
    <row r="94" spans="2:8">
      <c r="B94" s="129" t="s">
        <v>200</v>
      </c>
      <c r="C94" s="198" t="s">
        <v>163</v>
      </c>
      <c r="D94" s="310" t="s">
        <v>164</v>
      </c>
      <c r="E94" s="460" t="s">
        <v>69</v>
      </c>
      <c r="F94" s="281">
        <v>22.36</v>
      </c>
      <c r="G94" s="229"/>
      <c r="H94" s="230"/>
    </row>
    <row r="95" spans="2:8">
      <c r="B95" s="129" t="s">
        <v>201</v>
      </c>
      <c r="C95" s="198" t="s">
        <v>145</v>
      </c>
      <c r="D95" s="310" t="s">
        <v>155</v>
      </c>
      <c r="E95" s="460" t="s">
        <v>69</v>
      </c>
      <c r="F95" s="281">
        <v>6.37</v>
      </c>
      <c r="G95" s="229"/>
      <c r="H95" s="230"/>
    </row>
    <row r="96" spans="2:8">
      <c r="B96" s="129" t="s">
        <v>202</v>
      </c>
      <c r="C96" s="198"/>
      <c r="D96" s="310" t="s">
        <v>203</v>
      </c>
      <c r="E96" s="460" t="s">
        <v>69</v>
      </c>
      <c r="F96" s="281">
        <v>25.64</v>
      </c>
      <c r="G96" s="229"/>
      <c r="H96" s="230"/>
    </row>
    <row r="97" spans="2:8" ht="15">
      <c r="B97" s="186" t="s">
        <v>204</v>
      </c>
      <c r="C97" s="312"/>
      <c r="D97" s="313" t="s">
        <v>205</v>
      </c>
      <c r="E97" s="314"/>
      <c r="F97" s="283"/>
      <c r="G97" s="233"/>
      <c r="H97" s="234"/>
    </row>
    <row r="98" spans="2:8">
      <c r="B98" s="129" t="s">
        <v>198</v>
      </c>
      <c r="C98" s="198" t="s">
        <v>128</v>
      </c>
      <c r="D98" s="310" t="s">
        <v>141</v>
      </c>
      <c r="E98" s="460" t="s">
        <v>69</v>
      </c>
      <c r="F98" s="281">
        <v>22.12</v>
      </c>
      <c r="G98" s="229"/>
      <c r="H98" s="230"/>
    </row>
    <row r="99" spans="2:8">
      <c r="B99" s="129" t="s">
        <v>199</v>
      </c>
      <c r="C99" s="198" t="s">
        <v>160</v>
      </c>
      <c r="D99" s="310" t="s">
        <v>161</v>
      </c>
      <c r="E99" s="460" t="s">
        <v>69</v>
      </c>
      <c r="F99" s="281">
        <v>64.989999999999995</v>
      </c>
      <c r="G99" s="229"/>
      <c r="H99" s="230"/>
    </row>
    <row r="100" spans="2:8" ht="14.25">
      <c r="B100" s="186" t="s">
        <v>190</v>
      </c>
      <c r="C100" s="323"/>
      <c r="D100" s="324" t="s">
        <v>206</v>
      </c>
      <c r="E100" s="325"/>
      <c r="F100" s="286"/>
      <c r="G100" s="238"/>
      <c r="H100" s="239"/>
    </row>
    <row r="101" spans="2:8" ht="25.5">
      <c r="B101" s="129" t="s">
        <v>192</v>
      </c>
      <c r="C101" s="198" t="s">
        <v>207</v>
      </c>
      <c r="D101" s="310" t="s">
        <v>208</v>
      </c>
      <c r="E101" s="198" t="s">
        <v>209</v>
      </c>
      <c r="F101" s="281">
        <f>114+40+91+99+41+98+99+58</f>
        <v>640</v>
      </c>
      <c r="G101" s="229"/>
      <c r="H101" s="230"/>
    </row>
    <row r="102" spans="2:8" ht="13.5" thickBot="1">
      <c r="B102" s="129" t="s">
        <v>193</v>
      </c>
      <c r="C102" s="198" t="s">
        <v>207</v>
      </c>
      <c r="D102" s="310" t="s">
        <v>210</v>
      </c>
      <c r="E102" s="198" t="s">
        <v>209</v>
      </c>
      <c r="F102" s="281">
        <f>((66.5+65.8+72.2+47.5+9.5+10.3+16.5)*2)+(52.8+144+26)</f>
        <v>799.40000000000009</v>
      </c>
      <c r="G102" s="229"/>
      <c r="H102" s="230"/>
    </row>
    <row r="103" spans="2:8" ht="16.5" thickBot="1">
      <c r="B103" s="479">
        <v>5</v>
      </c>
      <c r="C103" s="480"/>
      <c r="D103" s="481" t="s">
        <v>211</v>
      </c>
      <c r="E103" s="482"/>
      <c r="F103" s="483"/>
      <c r="G103" s="493"/>
      <c r="H103" s="280"/>
    </row>
    <row r="104" spans="2:8" ht="15">
      <c r="B104" s="486" t="s">
        <v>212</v>
      </c>
      <c r="C104" s="487"/>
      <c r="D104" s="488" t="s">
        <v>133</v>
      </c>
      <c r="E104" s="489"/>
      <c r="F104" s="490"/>
      <c r="G104" s="491"/>
      <c r="H104" s="492"/>
    </row>
    <row r="105" spans="2:8">
      <c r="B105" s="183" t="s">
        <v>213</v>
      </c>
      <c r="C105" s="198" t="s">
        <v>214</v>
      </c>
      <c r="D105" s="315" t="s">
        <v>215</v>
      </c>
      <c r="E105" s="195" t="s">
        <v>55</v>
      </c>
      <c r="F105" s="281">
        <v>217.7</v>
      </c>
      <c r="G105" s="229"/>
      <c r="H105" s="235"/>
    </row>
    <row r="106" spans="2:8">
      <c r="B106" s="183" t="s">
        <v>216</v>
      </c>
      <c r="C106" s="198" t="s">
        <v>214</v>
      </c>
      <c r="D106" s="315" t="s">
        <v>217</v>
      </c>
      <c r="E106" s="195" t="s">
        <v>55</v>
      </c>
      <c r="F106" s="281">
        <f>12*3.6</f>
        <v>43.2</v>
      </c>
      <c r="G106" s="229"/>
      <c r="H106" s="235"/>
    </row>
    <row r="107" spans="2:8">
      <c r="B107" s="183" t="s">
        <v>218</v>
      </c>
      <c r="C107" s="198" t="s">
        <v>214</v>
      </c>
      <c r="D107" s="315" t="s">
        <v>217</v>
      </c>
      <c r="E107" s="195" t="s">
        <v>55</v>
      </c>
      <c r="F107" s="281">
        <f>2*3.6</f>
        <v>7.2</v>
      </c>
      <c r="G107" s="229"/>
      <c r="H107" s="242"/>
    </row>
    <row r="108" spans="2:8" ht="25.5">
      <c r="B108" s="183" t="s">
        <v>219</v>
      </c>
      <c r="C108" s="198" t="s">
        <v>214</v>
      </c>
      <c r="D108" s="315" t="s">
        <v>220</v>
      </c>
      <c r="E108" s="195" t="s">
        <v>55</v>
      </c>
      <c r="F108" s="281">
        <v>24.5</v>
      </c>
      <c r="G108" s="229"/>
      <c r="H108" s="242"/>
    </row>
    <row r="109" spans="2:8" ht="15">
      <c r="B109" s="186" t="s">
        <v>221</v>
      </c>
      <c r="C109" s="312"/>
      <c r="D109" s="313" t="s">
        <v>222</v>
      </c>
      <c r="E109" s="314"/>
      <c r="F109" s="283"/>
      <c r="G109" s="233"/>
      <c r="H109" s="234"/>
    </row>
    <row r="110" spans="2:8">
      <c r="B110" s="183" t="s">
        <v>223</v>
      </c>
      <c r="C110" s="198"/>
      <c r="D110" s="330" t="s">
        <v>224</v>
      </c>
      <c r="E110" s="331"/>
      <c r="F110" s="287"/>
      <c r="G110" s="243"/>
      <c r="H110" s="242"/>
    </row>
    <row r="111" spans="2:8" ht="51">
      <c r="B111" s="183" t="s">
        <v>225</v>
      </c>
      <c r="C111" s="198" t="s">
        <v>226</v>
      </c>
      <c r="D111" s="315" t="s">
        <v>227</v>
      </c>
      <c r="E111" s="195" t="s">
        <v>55</v>
      </c>
      <c r="F111" s="288">
        <v>472</v>
      </c>
      <c r="G111" s="229"/>
      <c r="H111" s="244"/>
    </row>
    <row r="112" spans="2:8">
      <c r="B112" s="183" t="s">
        <v>228</v>
      </c>
      <c r="C112" s="198" t="s">
        <v>214</v>
      </c>
      <c r="D112" s="332" t="s">
        <v>215</v>
      </c>
      <c r="E112" s="198" t="s">
        <v>55</v>
      </c>
      <c r="F112" s="281">
        <v>328.8</v>
      </c>
      <c r="G112" s="229"/>
      <c r="H112" s="244"/>
    </row>
    <row r="113" spans="2:8">
      <c r="B113" s="183" t="s">
        <v>229</v>
      </c>
      <c r="C113" s="198" t="s">
        <v>214</v>
      </c>
      <c r="D113" s="332" t="s">
        <v>217</v>
      </c>
      <c r="E113" s="198" t="s">
        <v>55</v>
      </c>
      <c r="F113" s="281">
        <v>2.5</v>
      </c>
      <c r="G113" s="229"/>
      <c r="H113" s="244"/>
    </row>
    <row r="114" spans="2:8">
      <c r="B114" s="183" t="s">
        <v>230</v>
      </c>
      <c r="C114" s="198" t="s">
        <v>214</v>
      </c>
      <c r="D114" s="332" t="s">
        <v>231</v>
      </c>
      <c r="E114" s="198" t="s">
        <v>55</v>
      </c>
      <c r="F114" s="281">
        <f>8.5*4</f>
        <v>34</v>
      </c>
      <c r="G114" s="229"/>
      <c r="H114" s="244"/>
    </row>
    <row r="115" spans="2:8">
      <c r="B115" s="183" t="s">
        <v>232</v>
      </c>
      <c r="C115" s="198" t="s">
        <v>233</v>
      </c>
      <c r="D115" s="332" t="s">
        <v>234</v>
      </c>
      <c r="E115" s="198" t="s">
        <v>209</v>
      </c>
      <c r="F115" s="281">
        <v>36</v>
      </c>
      <c r="G115" s="229"/>
      <c r="H115" s="244"/>
    </row>
    <row r="116" spans="2:8">
      <c r="B116" s="183" t="s">
        <v>235</v>
      </c>
      <c r="C116" s="198"/>
      <c r="D116" s="330" t="s">
        <v>236</v>
      </c>
      <c r="E116" s="195"/>
      <c r="F116" s="281"/>
      <c r="G116" s="229"/>
      <c r="H116" s="242"/>
    </row>
    <row r="117" spans="2:8" ht="51">
      <c r="B117" s="183" t="s">
        <v>237</v>
      </c>
      <c r="C117" s="198" t="s">
        <v>226</v>
      </c>
      <c r="D117" s="315" t="s">
        <v>227</v>
      </c>
      <c r="E117" s="195" t="s">
        <v>55</v>
      </c>
      <c r="F117" s="281">
        <f>+(4.5+11.5+2)*4</f>
        <v>72</v>
      </c>
      <c r="G117" s="229"/>
      <c r="H117" s="244"/>
    </row>
    <row r="118" spans="2:8">
      <c r="B118" s="183" t="s">
        <v>238</v>
      </c>
      <c r="C118" s="198" t="s">
        <v>214</v>
      </c>
      <c r="D118" s="315" t="s">
        <v>215</v>
      </c>
      <c r="E118" s="195" t="s">
        <v>55</v>
      </c>
      <c r="F118" s="289">
        <f>+(4+7+3+9+4+5+2+6+2+9+6+5+3.5+6.5+4.5+3.5)*3.8</f>
        <v>304</v>
      </c>
      <c r="G118" s="229"/>
      <c r="H118" s="244"/>
    </row>
    <row r="119" spans="2:8">
      <c r="B119" s="183" t="s">
        <v>239</v>
      </c>
      <c r="C119" s="198" t="s">
        <v>214</v>
      </c>
      <c r="D119" s="315" t="s">
        <v>217</v>
      </c>
      <c r="E119" s="195" t="s">
        <v>55</v>
      </c>
      <c r="F119" s="288">
        <f>118+5.8*3.8</f>
        <v>140.04</v>
      </c>
      <c r="G119" s="229"/>
      <c r="H119" s="244"/>
    </row>
    <row r="120" spans="2:8">
      <c r="B120" s="183" t="s">
        <v>240</v>
      </c>
      <c r="C120" s="198" t="s">
        <v>214</v>
      </c>
      <c r="D120" s="315" t="s">
        <v>231</v>
      </c>
      <c r="E120" s="195" t="s">
        <v>55</v>
      </c>
      <c r="F120" s="290">
        <v>40</v>
      </c>
      <c r="G120" s="229"/>
      <c r="H120" s="244"/>
    </row>
    <row r="121" spans="2:8">
      <c r="B121" s="183" t="s">
        <v>241</v>
      </c>
      <c r="C121" s="198" t="s">
        <v>233</v>
      </c>
      <c r="D121" s="315" t="s">
        <v>234</v>
      </c>
      <c r="E121" s="195" t="s">
        <v>209</v>
      </c>
      <c r="F121" s="290">
        <v>28</v>
      </c>
      <c r="G121" s="243"/>
      <c r="H121" s="244"/>
    </row>
    <row r="122" spans="2:8">
      <c r="B122" s="183" t="s">
        <v>242</v>
      </c>
      <c r="C122" s="198"/>
      <c r="D122" s="330" t="s">
        <v>243</v>
      </c>
      <c r="E122" s="331"/>
      <c r="F122" s="287"/>
      <c r="G122" s="243"/>
      <c r="H122" s="242"/>
    </row>
    <row r="123" spans="2:8" ht="51">
      <c r="B123" s="183" t="s">
        <v>244</v>
      </c>
      <c r="C123" s="198" t="s">
        <v>226</v>
      </c>
      <c r="D123" s="315" t="s">
        <v>227</v>
      </c>
      <c r="E123" s="195" t="s">
        <v>55</v>
      </c>
      <c r="F123" s="288">
        <v>404</v>
      </c>
      <c r="G123" s="229"/>
      <c r="H123" s="244"/>
    </row>
    <row r="124" spans="2:8">
      <c r="B124" s="183" t="s">
        <v>245</v>
      </c>
      <c r="C124" s="198" t="s">
        <v>214</v>
      </c>
      <c r="D124" s="315" t="s">
        <v>215</v>
      </c>
      <c r="E124" s="195" t="s">
        <v>55</v>
      </c>
      <c r="F124" s="288">
        <v>212</v>
      </c>
      <c r="G124" s="229"/>
      <c r="H124" s="244"/>
    </row>
    <row r="125" spans="2:8">
      <c r="B125" s="183" t="s">
        <v>246</v>
      </c>
      <c r="C125" s="198" t="s">
        <v>214</v>
      </c>
      <c r="D125" s="315" t="s">
        <v>217</v>
      </c>
      <c r="E125" s="195" t="s">
        <v>55</v>
      </c>
      <c r="F125" s="288">
        <v>4</v>
      </c>
      <c r="G125" s="229"/>
      <c r="H125" s="244"/>
    </row>
    <row r="126" spans="2:8">
      <c r="B126" s="183" t="s">
        <v>247</v>
      </c>
      <c r="C126" s="198" t="s">
        <v>233</v>
      </c>
      <c r="D126" s="315" t="s">
        <v>234</v>
      </c>
      <c r="E126" s="195" t="s">
        <v>209</v>
      </c>
      <c r="F126" s="290">
        <v>76.2</v>
      </c>
      <c r="G126" s="243"/>
      <c r="H126" s="244"/>
    </row>
    <row r="127" spans="2:8">
      <c r="B127" s="183" t="s">
        <v>248</v>
      </c>
      <c r="C127" s="198"/>
      <c r="D127" s="330" t="s">
        <v>249</v>
      </c>
      <c r="E127" s="331"/>
      <c r="F127" s="291"/>
      <c r="G127" s="243"/>
      <c r="H127" s="244"/>
    </row>
    <row r="128" spans="2:8">
      <c r="B128" s="183" t="s">
        <v>250</v>
      </c>
      <c r="C128" s="198" t="s">
        <v>214</v>
      </c>
      <c r="D128" s="315" t="s">
        <v>215</v>
      </c>
      <c r="E128" s="195" t="s">
        <v>55</v>
      </c>
      <c r="F128" s="291">
        <v>172</v>
      </c>
      <c r="G128" s="229"/>
      <c r="H128" s="244"/>
    </row>
    <row r="129" spans="2:8">
      <c r="B129" s="183" t="s">
        <v>251</v>
      </c>
      <c r="C129" s="198" t="s">
        <v>233</v>
      </c>
      <c r="D129" s="315" t="s">
        <v>234</v>
      </c>
      <c r="E129" s="195" t="s">
        <v>209</v>
      </c>
      <c r="F129" s="291">
        <v>5</v>
      </c>
      <c r="G129" s="229"/>
      <c r="H129" s="244"/>
    </row>
    <row r="130" spans="2:8" ht="15">
      <c r="B130" s="186" t="s">
        <v>252</v>
      </c>
      <c r="C130" s="312"/>
      <c r="D130" s="313" t="s">
        <v>224</v>
      </c>
      <c r="E130" s="314"/>
      <c r="F130" s="283"/>
      <c r="G130" s="233"/>
      <c r="H130" s="234"/>
    </row>
    <row r="131" spans="2:8">
      <c r="B131" s="183" t="s">
        <v>253</v>
      </c>
      <c r="C131" s="333"/>
      <c r="D131" s="334" t="s">
        <v>254</v>
      </c>
      <c r="E131" s="331"/>
      <c r="F131" s="291"/>
      <c r="G131" s="243"/>
      <c r="H131" s="244"/>
    </row>
    <row r="132" spans="2:8" ht="63.75">
      <c r="B132" s="183" t="s">
        <v>255</v>
      </c>
      <c r="C132" s="198" t="s">
        <v>226</v>
      </c>
      <c r="D132" s="315" t="s">
        <v>256</v>
      </c>
      <c r="E132" s="195" t="s">
        <v>55</v>
      </c>
      <c r="F132" s="281">
        <v>220</v>
      </c>
      <c r="G132" s="229"/>
      <c r="H132" s="244"/>
    </row>
    <row r="133" spans="2:8" ht="51">
      <c r="B133" s="183" t="s">
        <v>257</v>
      </c>
      <c r="C133" s="198" t="s">
        <v>226</v>
      </c>
      <c r="D133" s="315" t="s">
        <v>227</v>
      </c>
      <c r="E133" s="195" t="s">
        <v>55</v>
      </c>
      <c r="F133" s="281">
        <f>+(4.5*3+11+9+3+1.4)*4+1.5*2*4</f>
        <v>163.6</v>
      </c>
      <c r="G133" s="229"/>
      <c r="H133" s="244"/>
    </row>
    <row r="134" spans="2:8">
      <c r="B134" s="183" t="s">
        <v>258</v>
      </c>
      <c r="C134" s="198" t="s">
        <v>214</v>
      </c>
      <c r="D134" s="332" t="s">
        <v>215</v>
      </c>
      <c r="E134" s="198" t="s">
        <v>55</v>
      </c>
      <c r="F134" s="281">
        <f>+(4.5+5.5+4+2+6+7)*3.8</f>
        <v>110.19999999999999</v>
      </c>
      <c r="G134" s="229"/>
      <c r="H134" s="244"/>
    </row>
    <row r="135" spans="2:8">
      <c r="B135" s="183" t="s">
        <v>259</v>
      </c>
      <c r="C135" s="198" t="s">
        <v>214</v>
      </c>
      <c r="D135" s="332" t="s">
        <v>217</v>
      </c>
      <c r="E135" s="198" t="s">
        <v>55</v>
      </c>
      <c r="F135" s="281">
        <f>+(2+5)*4</f>
        <v>28</v>
      </c>
      <c r="G135" s="229"/>
      <c r="H135" s="244"/>
    </row>
    <row r="136" spans="2:8" ht="25.5">
      <c r="B136" s="183" t="s">
        <v>260</v>
      </c>
      <c r="C136" s="198" t="s">
        <v>214</v>
      </c>
      <c r="D136" s="332" t="s">
        <v>261</v>
      </c>
      <c r="E136" s="198" t="s">
        <v>55</v>
      </c>
      <c r="F136" s="281">
        <v>12</v>
      </c>
      <c r="G136" s="229"/>
      <c r="H136" s="244"/>
    </row>
    <row r="137" spans="2:8">
      <c r="B137" s="183" t="s">
        <v>262</v>
      </c>
      <c r="C137" s="198" t="s">
        <v>233</v>
      </c>
      <c r="D137" s="332" t="s">
        <v>234</v>
      </c>
      <c r="E137" s="198" t="s">
        <v>209</v>
      </c>
      <c r="F137" s="281">
        <f>7.5*6+12*1.5</f>
        <v>63</v>
      </c>
      <c r="G137" s="229"/>
      <c r="H137" s="244"/>
    </row>
    <row r="138" spans="2:8">
      <c r="B138" s="183" t="s">
        <v>263</v>
      </c>
      <c r="C138" s="333"/>
      <c r="D138" s="334" t="s">
        <v>264</v>
      </c>
      <c r="E138" s="331"/>
      <c r="F138" s="291"/>
      <c r="G138" s="243"/>
      <c r="H138" s="244"/>
    </row>
    <row r="139" spans="2:8" ht="63.75">
      <c r="B139" s="183" t="s">
        <v>265</v>
      </c>
      <c r="C139" s="198" t="s">
        <v>226</v>
      </c>
      <c r="D139" s="315" t="s">
        <v>256</v>
      </c>
      <c r="E139" s="195" t="s">
        <v>55</v>
      </c>
      <c r="F139" s="281">
        <v>220</v>
      </c>
      <c r="G139" s="229"/>
      <c r="H139" s="244"/>
    </row>
    <row r="140" spans="2:8" ht="51">
      <c r="B140" s="183" t="s">
        <v>266</v>
      </c>
      <c r="C140" s="198" t="s">
        <v>226</v>
      </c>
      <c r="D140" s="315" t="s">
        <v>227</v>
      </c>
      <c r="E140" s="195" t="s">
        <v>55</v>
      </c>
      <c r="F140" s="281">
        <f>+(11+4.5*3+9+3+1.4)*4+1.5*2*4</f>
        <v>163.6</v>
      </c>
      <c r="G140" s="229"/>
      <c r="H140" s="244"/>
    </row>
    <row r="141" spans="2:8">
      <c r="B141" s="183" t="s">
        <v>267</v>
      </c>
      <c r="C141" s="198" t="s">
        <v>214</v>
      </c>
      <c r="D141" s="332" t="s">
        <v>215</v>
      </c>
      <c r="E141" s="198" t="s">
        <v>55</v>
      </c>
      <c r="F141" s="281">
        <f>13*4</f>
        <v>52</v>
      </c>
      <c r="G141" s="229"/>
      <c r="H141" s="244"/>
    </row>
    <row r="142" spans="2:8">
      <c r="B142" s="183" t="s">
        <v>268</v>
      </c>
      <c r="C142" s="198" t="s">
        <v>214</v>
      </c>
      <c r="D142" s="332" t="s">
        <v>217</v>
      </c>
      <c r="E142" s="198" t="s">
        <v>55</v>
      </c>
      <c r="F142" s="281">
        <v>6</v>
      </c>
      <c r="G142" s="229"/>
      <c r="H142" s="244"/>
    </row>
    <row r="143" spans="2:8">
      <c r="B143" s="183" t="s">
        <v>269</v>
      </c>
      <c r="C143" s="198" t="s">
        <v>214</v>
      </c>
      <c r="D143" s="332" t="s">
        <v>231</v>
      </c>
      <c r="E143" s="198" t="s">
        <v>55</v>
      </c>
      <c r="F143" s="281">
        <f>6*0.5</f>
        <v>3</v>
      </c>
      <c r="G143" s="229"/>
      <c r="H143" s="244"/>
    </row>
    <row r="144" spans="2:8">
      <c r="B144" s="183" t="s">
        <v>270</v>
      </c>
      <c r="C144" s="198" t="s">
        <v>233</v>
      </c>
      <c r="D144" s="332" t="s">
        <v>234</v>
      </c>
      <c r="E144" s="198" t="s">
        <v>209</v>
      </c>
      <c r="F144" s="281">
        <f>8+7.5*6</f>
        <v>53</v>
      </c>
      <c r="G144" s="229"/>
      <c r="H144" s="244"/>
    </row>
    <row r="145" spans="2:8">
      <c r="B145" s="183" t="s">
        <v>271</v>
      </c>
      <c r="C145" s="333"/>
      <c r="D145" s="334" t="s">
        <v>272</v>
      </c>
      <c r="E145" s="331"/>
      <c r="F145" s="291"/>
      <c r="G145" s="243"/>
      <c r="H145" s="244"/>
    </row>
    <row r="146" spans="2:8" ht="63.75">
      <c r="B146" s="183" t="s">
        <v>273</v>
      </c>
      <c r="C146" s="198" t="s">
        <v>226</v>
      </c>
      <c r="D146" s="315" t="s">
        <v>256</v>
      </c>
      <c r="E146" s="195" t="s">
        <v>55</v>
      </c>
      <c r="F146" s="281">
        <v>250</v>
      </c>
      <c r="G146" s="229"/>
      <c r="H146" s="244"/>
    </row>
    <row r="147" spans="2:8" ht="51">
      <c r="B147" s="183" t="s">
        <v>274</v>
      </c>
      <c r="C147" s="198" t="s">
        <v>226</v>
      </c>
      <c r="D147" s="315" t="s">
        <v>227</v>
      </c>
      <c r="E147" s="195" t="s">
        <v>55</v>
      </c>
      <c r="F147" s="281">
        <f>+F140+1.5*2*2</f>
        <v>169.6</v>
      </c>
      <c r="G147" s="229"/>
      <c r="H147" s="244"/>
    </row>
    <row r="148" spans="2:8">
      <c r="B148" s="183" t="s">
        <v>275</v>
      </c>
      <c r="C148" s="198" t="s">
        <v>214</v>
      </c>
      <c r="D148" s="332" t="s">
        <v>215</v>
      </c>
      <c r="E148" s="198" t="s">
        <v>55</v>
      </c>
      <c r="F148" s="281">
        <f>+(6+4+2+5+6+7)*4</f>
        <v>120</v>
      </c>
      <c r="G148" s="229"/>
      <c r="H148" s="244"/>
    </row>
    <row r="149" spans="2:8">
      <c r="B149" s="183" t="s">
        <v>276</v>
      </c>
      <c r="C149" s="198" t="s">
        <v>214</v>
      </c>
      <c r="D149" s="332" t="s">
        <v>217</v>
      </c>
      <c r="E149" s="198" t="s">
        <v>55</v>
      </c>
      <c r="F149" s="281">
        <v>6</v>
      </c>
      <c r="G149" s="229"/>
      <c r="H149" s="244"/>
    </row>
    <row r="150" spans="2:8">
      <c r="B150" s="183" t="s">
        <v>277</v>
      </c>
      <c r="C150" s="198" t="s">
        <v>233</v>
      </c>
      <c r="D150" s="332" t="s">
        <v>234</v>
      </c>
      <c r="E150" s="198" t="s">
        <v>209</v>
      </c>
      <c r="F150" s="281">
        <f>7.5*8+1.5*5</f>
        <v>67.5</v>
      </c>
      <c r="G150" s="229"/>
      <c r="H150" s="244"/>
    </row>
    <row r="151" spans="2:8">
      <c r="B151" s="183" t="s">
        <v>278</v>
      </c>
      <c r="C151" s="333"/>
      <c r="D151" s="334" t="s">
        <v>279</v>
      </c>
      <c r="E151" s="331"/>
      <c r="F151" s="291"/>
      <c r="G151" s="243"/>
      <c r="H151" s="244"/>
    </row>
    <row r="152" spans="2:8" ht="63.75">
      <c r="B152" s="183" t="s">
        <v>280</v>
      </c>
      <c r="C152" s="198" t="s">
        <v>226</v>
      </c>
      <c r="D152" s="315" t="s">
        <v>256</v>
      </c>
      <c r="E152" s="195" t="s">
        <v>55</v>
      </c>
      <c r="F152" s="281">
        <v>250</v>
      </c>
      <c r="G152" s="229"/>
      <c r="H152" s="244"/>
    </row>
    <row r="153" spans="2:8" ht="51">
      <c r="B153" s="183" t="s">
        <v>281</v>
      </c>
      <c r="C153" s="198" t="s">
        <v>226</v>
      </c>
      <c r="D153" s="315" t="s">
        <v>227</v>
      </c>
      <c r="E153" s="195" t="s">
        <v>55</v>
      </c>
      <c r="F153" s="281">
        <f>+F147</f>
        <v>169.6</v>
      </c>
      <c r="G153" s="229"/>
      <c r="H153" s="244"/>
    </row>
    <row r="154" spans="2:8">
      <c r="B154" s="183" t="s">
        <v>282</v>
      </c>
      <c r="C154" s="198" t="s">
        <v>214</v>
      </c>
      <c r="D154" s="332" t="s">
        <v>215</v>
      </c>
      <c r="E154" s="198" t="s">
        <v>55</v>
      </c>
      <c r="F154" s="281">
        <f>+(6+4+2+5+6+7)*4</f>
        <v>120</v>
      </c>
      <c r="G154" s="229"/>
      <c r="H154" s="244"/>
    </row>
    <row r="155" spans="2:8">
      <c r="B155" s="183" t="s">
        <v>283</v>
      </c>
      <c r="C155" s="198" t="s">
        <v>214</v>
      </c>
      <c r="D155" s="332" t="s">
        <v>217</v>
      </c>
      <c r="E155" s="198" t="s">
        <v>55</v>
      </c>
      <c r="F155" s="281">
        <v>6</v>
      </c>
      <c r="G155" s="229"/>
      <c r="H155" s="244"/>
    </row>
    <row r="156" spans="2:8">
      <c r="B156" s="183" t="s">
        <v>284</v>
      </c>
      <c r="C156" s="198" t="s">
        <v>233</v>
      </c>
      <c r="D156" s="332" t="s">
        <v>234</v>
      </c>
      <c r="E156" s="198" t="s">
        <v>209</v>
      </c>
      <c r="F156" s="281">
        <f>7.5*8+1.5*5</f>
        <v>67.5</v>
      </c>
      <c r="G156" s="229"/>
      <c r="H156" s="244"/>
    </row>
    <row r="157" spans="2:8">
      <c r="B157" s="183" t="s">
        <v>285</v>
      </c>
      <c r="C157" s="333"/>
      <c r="D157" s="334" t="s">
        <v>286</v>
      </c>
      <c r="E157" s="331"/>
      <c r="F157" s="291"/>
      <c r="G157" s="243"/>
      <c r="H157" s="244"/>
    </row>
    <row r="158" spans="2:8" ht="63.75">
      <c r="B158" s="183" t="s">
        <v>287</v>
      </c>
      <c r="C158" s="198" t="s">
        <v>226</v>
      </c>
      <c r="D158" s="315" t="s">
        <v>256</v>
      </c>
      <c r="E158" s="195" t="s">
        <v>55</v>
      </c>
      <c r="F158" s="281">
        <v>250</v>
      </c>
      <c r="G158" s="229"/>
      <c r="H158" s="244"/>
    </row>
    <row r="159" spans="2:8" ht="51">
      <c r="B159" s="183" t="s">
        <v>288</v>
      </c>
      <c r="C159" s="198" t="s">
        <v>226</v>
      </c>
      <c r="D159" s="315" t="s">
        <v>227</v>
      </c>
      <c r="E159" s="195" t="s">
        <v>55</v>
      </c>
      <c r="F159" s="281">
        <f>+F153</f>
        <v>169.6</v>
      </c>
      <c r="G159" s="229"/>
      <c r="H159" s="244"/>
    </row>
    <row r="160" spans="2:8">
      <c r="B160" s="183" t="s">
        <v>289</v>
      </c>
      <c r="C160" s="198" t="s">
        <v>214</v>
      </c>
      <c r="D160" s="332" t="s">
        <v>215</v>
      </c>
      <c r="E160" s="198" t="s">
        <v>55</v>
      </c>
      <c r="F160" s="281">
        <f>+(6+4+2+5+6+7)*4</f>
        <v>120</v>
      </c>
      <c r="G160" s="229"/>
      <c r="H160" s="244"/>
    </row>
    <row r="161" spans="2:8">
      <c r="B161" s="183" t="s">
        <v>290</v>
      </c>
      <c r="C161" s="198" t="s">
        <v>214</v>
      </c>
      <c r="D161" s="332" t="s">
        <v>217</v>
      </c>
      <c r="E161" s="198" t="s">
        <v>55</v>
      </c>
      <c r="F161" s="281">
        <v>6</v>
      </c>
      <c r="G161" s="229"/>
      <c r="H161" s="244"/>
    </row>
    <row r="162" spans="2:8">
      <c r="B162" s="183" t="s">
        <v>291</v>
      </c>
      <c r="C162" s="198" t="s">
        <v>233</v>
      </c>
      <c r="D162" s="332" t="s">
        <v>234</v>
      </c>
      <c r="E162" s="198" t="s">
        <v>209</v>
      </c>
      <c r="F162" s="281">
        <f>7.5*8+1.5*5</f>
        <v>67.5</v>
      </c>
      <c r="G162" s="229"/>
      <c r="H162" s="244"/>
    </row>
    <row r="163" spans="2:8">
      <c r="B163" s="183" t="s">
        <v>292</v>
      </c>
      <c r="C163" s="333"/>
      <c r="D163" s="334" t="s">
        <v>293</v>
      </c>
      <c r="E163" s="331"/>
      <c r="F163" s="291"/>
      <c r="G163" s="243"/>
      <c r="H163" s="244"/>
    </row>
    <row r="164" spans="2:8" ht="63.75">
      <c r="B164" s="183" t="s">
        <v>294</v>
      </c>
      <c r="C164" s="198" t="s">
        <v>226</v>
      </c>
      <c r="D164" s="315" t="s">
        <v>256</v>
      </c>
      <c r="E164" s="195" t="s">
        <v>55</v>
      </c>
      <c r="F164" s="281">
        <f>+F158</f>
        <v>250</v>
      </c>
      <c r="G164" s="229"/>
      <c r="H164" s="244"/>
    </row>
    <row r="165" spans="2:8" ht="51">
      <c r="B165" s="183" t="s">
        <v>295</v>
      </c>
      <c r="C165" s="198" t="s">
        <v>226</v>
      </c>
      <c r="D165" s="315" t="s">
        <v>227</v>
      </c>
      <c r="E165" s="195" t="s">
        <v>55</v>
      </c>
      <c r="F165" s="281">
        <f>+F159</f>
        <v>169.6</v>
      </c>
      <c r="G165" s="229"/>
      <c r="H165" s="244"/>
    </row>
    <row r="166" spans="2:8">
      <c r="B166" s="183" t="s">
        <v>296</v>
      </c>
      <c r="C166" s="198" t="s">
        <v>214</v>
      </c>
      <c r="D166" s="332" t="s">
        <v>215</v>
      </c>
      <c r="E166" s="198" t="s">
        <v>55</v>
      </c>
      <c r="F166" s="281">
        <f>+(6+7+6+5+10.5+6.4*2)*4</f>
        <v>189.2</v>
      </c>
      <c r="G166" s="229"/>
      <c r="H166" s="244"/>
    </row>
    <row r="167" spans="2:8">
      <c r="B167" s="183" t="s">
        <v>297</v>
      </c>
      <c r="C167" s="198" t="s">
        <v>233</v>
      </c>
      <c r="D167" s="332" t="s">
        <v>234</v>
      </c>
      <c r="E167" s="198" t="s">
        <v>209</v>
      </c>
      <c r="F167" s="281">
        <f>7.5*8+1.5*4</f>
        <v>66</v>
      </c>
      <c r="G167" s="229"/>
      <c r="H167" s="244"/>
    </row>
    <row r="168" spans="2:8">
      <c r="B168" s="183" t="s">
        <v>298</v>
      </c>
      <c r="C168" s="333"/>
      <c r="D168" s="334" t="s">
        <v>299</v>
      </c>
      <c r="E168" s="331"/>
      <c r="F168" s="291"/>
      <c r="G168" s="243"/>
      <c r="H168" s="244"/>
    </row>
    <row r="169" spans="2:8" ht="51">
      <c r="B169" s="183" t="s">
        <v>300</v>
      </c>
      <c r="C169" s="198" t="s">
        <v>226</v>
      </c>
      <c r="D169" s="315" t="s">
        <v>227</v>
      </c>
      <c r="E169" s="195" t="s">
        <v>55</v>
      </c>
      <c r="F169" s="281">
        <v>3</v>
      </c>
      <c r="G169" s="229"/>
      <c r="H169" s="244"/>
    </row>
    <row r="170" spans="2:8">
      <c r="B170" s="183" t="s">
        <v>301</v>
      </c>
      <c r="C170" s="198" t="s">
        <v>214</v>
      </c>
      <c r="D170" s="332" t="s">
        <v>215</v>
      </c>
      <c r="E170" s="198" t="s">
        <v>55</v>
      </c>
      <c r="F170" s="281">
        <f>31*2*2.5+(12.5*1*0.5*3)+12.5*2.5*3+(2.5+3.5)*0.5*6.5+3.1*15*2+2*3.2*2</f>
        <v>392.8</v>
      </c>
      <c r="G170" s="229"/>
      <c r="H170" s="244"/>
    </row>
    <row r="171" spans="2:8">
      <c r="B171" s="183" t="s">
        <v>302</v>
      </c>
      <c r="C171" s="198" t="s">
        <v>233</v>
      </c>
      <c r="D171" s="332" t="s">
        <v>234</v>
      </c>
      <c r="E171" s="198" t="s">
        <v>209</v>
      </c>
      <c r="F171" s="281">
        <v>10</v>
      </c>
      <c r="G171" s="229"/>
      <c r="H171" s="244"/>
    </row>
    <row r="172" spans="2:8" ht="25.5">
      <c r="B172" s="183" t="s">
        <v>303</v>
      </c>
      <c r="C172" s="198"/>
      <c r="D172" s="332" t="s">
        <v>304</v>
      </c>
      <c r="E172" s="198" t="s">
        <v>209</v>
      </c>
      <c r="F172" s="281">
        <f>36*2+2+12.5</f>
        <v>86.5</v>
      </c>
      <c r="G172" s="229"/>
      <c r="H172" s="244"/>
    </row>
    <row r="173" spans="2:8" ht="25.5">
      <c r="B173" s="183" t="s">
        <v>305</v>
      </c>
      <c r="C173" s="198"/>
      <c r="D173" s="332" t="s">
        <v>306</v>
      </c>
      <c r="E173" s="198" t="s">
        <v>209</v>
      </c>
      <c r="F173" s="281">
        <f>8+11</f>
        <v>19</v>
      </c>
      <c r="G173" s="229"/>
      <c r="H173" s="244"/>
    </row>
    <row r="174" spans="2:8">
      <c r="B174" s="183" t="s">
        <v>307</v>
      </c>
      <c r="C174" s="198"/>
      <c r="D174" s="332" t="s">
        <v>308</v>
      </c>
      <c r="E174" s="198" t="s">
        <v>309</v>
      </c>
      <c r="F174" s="281">
        <v>1</v>
      </c>
      <c r="G174" s="229"/>
      <c r="H174" s="244"/>
    </row>
    <row r="175" spans="2:8" ht="15">
      <c r="B175" s="186" t="s">
        <v>310</v>
      </c>
      <c r="C175" s="312"/>
      <c r="D175" s="313" t="s">
        <v>236</v>
      </c>
      <c r="E175" s="314"/>
      <c r="F175" s="283"/>
      <c r="G175" s="233"/>
      <c r="H175" s="234"/>
    </row>
    <row r="176" spans="2:8">
      <c r="B176" s="183" t="s">
        <v>311</v>
      </c>
      <c r="C176" s="333"/>
      <c r="D176" s="334" t="s">
        <v>254</v>
      </c>
      <c r="E176" s="331"/>
      <c r="F176" s="291"/>
      <c r="G176" s="243"/>
      <c r="H176" s="244"/>
    </row>
    <row r="177" spans="2:8" ht="51">
      <c r="B177" s="183" t="s">
        <v>312</v>
      </c>
      <c r="C177" s="198" t="s">
        <v>226</v>
      </c>
      <c r="D177" s="315" t="s">
        <v>227</v>
      </c>
      <c r="E177" s="195" t="s">
        <v>55</v>
      </c>
      <c r="F177" s="281">
        <f>+(2+1.5+7+12+1.5+2+11)*4</f>
        <v>148</v>
      </c>
      <c r="G177" s="229"/>
      <c r="H177" s="244"/>
    </row>
    <row r="178" spans="2:8">
      <c r="B178" s="183" t="s">
        <v>313</v>
      </c>
      <c r="C178" s="198" t="s">
        <v>214</v>
      </c>
      <c r="D178" s="332" t="s">
        <v>215</v>
      </c>
      <c r="E178" s="198" t="s">
        <v>55</v>
      </c>
      <c r="F178" s="281">
        <v>180</v>
      </c>
      <c r="G178" s="229"/>
      <c r="H178" s="244"/>
    </row>
    <row r="179" spans="2:8">
      <c r="B179" s="183" t="s">
        <v>314</v>
      </c>
      <c r="C179" s="198" t="s">
        <v>214</v>
      </c>
      <c r="D179" s="332" t="s">
        <v>217</v>
      </c>
      <c r="E179" s="198" t="s">
        <v>55</v>
      </c>
      <c r="F179" s="281">
        <f>+(14+12+10.5+6+1.5)*3.8</f>
        <v>167.2</v>
      </c>
      <c r="G179" s="229"/>
      <c r="H179" s="244"/>
    </row>
    <row r="180" spans="2:8" ht="25.5">
      <c r="B180" s="183" t="s">
        <v>315</v>
      </c>
      <c r="C180" s="198" t="s">
        <v>214</v>
      </c>
      <c r="D180" s="332" t="s">
        <v>261</v>
      </c>
      <c r="E180" s="198" t="s">
        <v>55</v>
      </c>
      <c r="F180" s="281">
        <f>+(2+2+5+4.5+1)*4</f>
        <v>58</v>
      </c>
      <c r="G180" s="229"/>
      <c r="H180" s="244"/>
    </row>
    <row r="181" spans="2:8">
      <c r="B181" s="183" t="s">
        <v>316</v>
      </c>
      <c r="C181" s="198" t="s">
        <v>233</v>
      </c>
      <c r="D181" s="332" t="s">
        <v>234</v>
      </c>
      <c r="E181" s="198" t="s">
        <v>209</v>
      </c>
      <c r="F181" s="281">
        <f>20*1.5</f>
        <v>30</v>
      </c>
      <c r="G181" s="229"/>
      <c r="H181" s="244"/>
    </row>
    <row r="182" spans="2:8">
      <c r="B182" s="183" t="s">
        <v>317</v>
      </c>
      <c r="C182" s="333"/>
      <c r="D182" s="334" t="s">
        <v>264</v>
      </c>
      <c r="E182" s="331"/>
      <c r="F182" s="291"/>
      <c r="G182" s="243"/>
      <c r="H182" s="244"/>
    </row>
    <row r="183" spans="2:8" ht="51">
      <c r="B183" s="183" t="s">
        <v>318</v>
      </c>
      <c r="C183" s="198" t="s">
        <v>226</v>
      </c>
      <c r="D183" s="315" t="s">
        <v>227</v>
      </c>
      <c r="E183" s="195" t="s">
        <v>55</v>
      </c>
      <c r="F183" s="281">
        <f>+(2+1.5+7+12+1.5+2+11)*4</f>
        <v>148</v>
      </c>
      <c r="G183" s="229"/>
      <c r="H183" s="244"/>
    </row>
    <row r="184" spans="2:8">
      <c r="B184" s="183" t="s">
        <v>319</v>
      </c>
      <c r="C184" s="198" t="s">
        <v>214</v>
      </c>
      <c r="D184" s="332" t="s">
        <v>215</v>
      </c>
      <c r="E184" s="198" t="s">
        <v>55</v>
      </c>
      <c r="F184" s="281">
        <v>180</v>
      </c>
      <c r="G184" s="229"/>
      <c r="H184" s="244"/>
    </row>
    <row r="185" spans="2:8">
      <c r="B185" s="183" t="s">
        <v>320</v>
      </c>
      <c r="C185" s="198" t="s">
        <v>214</v>
      </c>
      <c r="D185" s="332" t="s">
        <v>217</v>
      </c>
      <c r="E185" s="198" t="s">
        <v>55</v>
      </c>
      <c r="F185" s="281">
        <f>+(14+12+10.5+6+1.5)*3.8</f>
        <v>167.2</v>
      </c>
      <c r="G185" s="229"/>
      <c r="H185" s="244"/>
    </row>
    <row r="186" spans="2:8" ht="25.5">
      <c r="B186" s="183" t="s">
        <v>321</v>
      </c>
      <c r="C186" s="198" t="s">
        <v>214</v>
      </c>
      <c r="D186" s="332" t="s">
        <v>261</v>
      </c>
      <c r="E186" s="198" t="s">
        <v>55</v>
      </c>
      <c r="F186" s="281">
        <f>+(2+2+5+4.5+1)*4</f>
        <v>58</v>
      </c>
      <c r="G186" s="229"/>
      <c r="H186" s="244"/>
    </row>
    <row r="187" spans="2:8">
      <c r="B187" s="183" t="s">
        <v>322</v>
      </c>
      <c r="C187" s="198" t="s">
        <v>233</v>
      </c>
      <c r="D187" s="332" t="s">
        <v>234</v>
      </c>
      <c r="E187" s="198" t="s">
        <v>209</v>
      </c>
      <c r="F187" s="281">
        <f>20*1.5</f>
        <v>30</v>
      </c>
      <c r="G187" s="229"/>
      <c r="H187" s="244"/>
    </row>
    <row r="188" spans="2:8">
      <c r="B188" s="183" t="s">
        <v>323</v>
      </c>
      <c r="C188" s="333"/>
      <c r="D188" s="334" t="s">
        <v>272</v>
      </c>
      <c r="E188" s="331"/>
      <c r="F188" s="291"/>
      <c r="G188" s="243"/>
      <c r="H188" s="244"/>
    </row>
    <row r="189" spans="2:8" ht="51">
      <c r="B189" s="183" t="s">
        <v>324</v>
      </c>
      <c r="C189" s="198" t="s">
        <v>226</v>
      </c>
      <c r="D189" s="315" t="s">
        <v>227</v>
      </c>
      <c r="E189" s="195" t="s">
        <v>55</v>
      </c>
      <c r="F189" s="281">
        <f>+(2+1.5+7+12+1.5+2+11)*4</f>
        <v>148</v>
      </c>
      <c r="G189" s="229"/>
      <c r="H189" s="244"/>
    </row>
    <row r="190" spans="2:8">
      <c r="B190" s="183" t="s">
        <v>325</v>
      </c>
      <c r="C190" s="198" t="s">
        <v>214</v>
      </c>
      <c r="D190" s="332" t="s">
        <v>215</v>
      </c>
      <c r="E190" s="198" t="s">
        <v>55</v>
      </c>
      <c r="F190" s="281">
        <v>180</v>
      </c>
      <c r="G190" s="229"/>
      <c r="H190" s="244"/>
    </row>
    <row r="191" spans="2:8">
      <c r="B191" s="183" t="s">
        <v>326</v>
      </c>
      <c r="C191" s="198" t="s">
        <v>214</v>
      </c>
      <c r="D191" s="332" t="s">
        <v>217</v>
      </c>
      <c r="E191" s="198" t="s">
        <v>55</v>
      </c>
      <c r="F191" s="281">
        <f>+(14+12+10.5+6+1.5)*3.8</f>
        <v>167.2</v>
      </c>
      <c r="G191" s="229"/>
      <c r="H191" s="244"/>
    </row>
    <row r="192" spans="2:8" ht="25.5">
      <c r="B192" s="183" t="s">
        <v>327</v>
      </c>
      <c r="C192" s="198" t="s">
        <v>214</v>
      </c>
      <c r="D192" s="332" t="s">
        <v>261</v>
      </c>
      <c r="E192" s="198" t="s">
        <v>55</v>
      </c>
      <c r="F192" s="281">
        <f>+(2+2+5+4.5+1)*4</f>
        <v>58</v>
      </c>
      <c r="G192" s="229"/>
      <c r="H192" s="244"/>
    </row>
    <row r="193" spans="2:8">
      <c r="B193" s="183" t="s">
        <v>328</v>
      </c>
      <c r="C193" s="198" t="s">
        <v>233</v>
      </c>
      <c r="D193" s="332" t="s">
        <v>234</v>
      </c>
      <c r="E193" s="198" t="s">
        <v>209</v>
      </c>
      <c r="F193" s="281">
        <f>20*1.5</f>
        <v>30</v>
      </c>
      <c r="G193" s="243"/>
      <c r="H193" s="244"/>
    </row>
    <row r="194" spans="2:8">
      <c r="B194" s="183" t="s">
        <v>329</v>
      </c>
      <c r="C194" s="333"/>
      <c r="D194" s="334" t="s">
        <v>279</v>
      </c>
      <c r="E194" s="331"/>
      <c r="F194" s="291"/>
      <c r="G194" s="243"/>
      <c r="H194" s="244"/>
    </row>
    <row r="195" spans="2:8" ht="51">
      <c r="B195" s="183" t="s">
        <v>330</v>
      </c>
      <c r="C195" s="198" t="s">
        <v>226</v>
      </c>
      <c r="D195" s="315" t="s">
        <v>227</v>
      </c>
      <c r="E195" s="195" t="s">
        <v>55</v>
      </c>
      <c r="F195" s="281">
        <f>+(2+1.5+7+12+1.5+2+11)*4</f>
        <v>148</v>
      </c>
      <c r="G195" s="229"/>
      <c r="H195" s="244"/>
    </row>
    <row r="196" spans="2:8">
      <c r="B196" s="183" t="s">
        <v>331</v>
      </c>
      <c r="C196" s="198" t="s">
        <v>214</v>
      </c>
      <c r="D196" s="332" t="s">
        <v>215</v>
      </c>
      <c r="E196" s="198" t="s">
        <v>55</v>
      </c>
      <c r="F196" s="281">
        <v>180</v>
      </c>
      <c r="G196" s="229"/>
      <c r="H196" s="244"/>
    </row>
    <row r="197" spans="2:8">
      <c r="B197" s="183" t="s">
        <v>332</v>
      </c>
      <c r="C197" s="198" t="s">
        <v>214</v>
      </c>
      <c r="D197" s="332" t="s">
        <v>217</v>
      </c>
      <c r="E197" s="198" t="s">
        <v>55</v>
      </c>
      <c r="F197" s="281">
        <f>+(14+12+10.5+6+1.5)*3.8</f>
        <v>167.2</v>
      </c>
      <c r="G197" s="229"/>
      <c r="H197" s="244"/>
    </row>
    <row r="198" spans="2:8" ht="25.5">
      <c r="B198" s="183" t="s">
        <v>333</v>
      </c>
      <c r="C198" s="198" t="s">
        <v>214</v>
      </c>
      <c r="D198" s="332" t="s">
        <v>261</v>
      </c>
      <c r="E198" s="198" t="s">
        <v>55</v>
      </c>
      <c r="F198" s="281">
        <f>+(2+2+5+4.5+1)*4</f>
        <v>58</v>
      </c>
      <c r="G198" s="229"/>
      <c r="H198" s="244"/>
    </row>
    <row r="199" spans="2:8">
      <c r="B199" s="183" t="s">
        <v>334</v>
      </c>
      <c r="C199" s="198" t="s">
        <v>233</v>
      </c>
      <c r="D199" s="332" t="s">
        <v>234</v>
      </c>
      <c r="E199" s="198" t="s">
        <v>209</v>
      </c>
      <c r="F199" s="281">
        <f>20*1.5</f>
        <v>30</v>
      </c>
      <c r="G199" s="243"/>
      <c r="H199" s="244"/>
    </row>
    <row r="200" spans="2:8">
      <c r="B200" s="183" t="s">
        <v>335</v>
      </c>
      <c r="C200" s="333"/>
      <c r="D200" s="334" t="s">
        <v>286</v>
      </c>
      <c r="E200" s="331"/>
      <c r="F200" s="291"/>
      <c r="G200" s="243"/>
      <c r="H200" s="244"/>
    </row>
    <row r="201" spans="2:8" ht="51">
      <c r="B201" s="183" t="s">
        <v>336</v>
      </c>
      <c r="C201" s="198" t="s">
        <v>226</v>
      </c>
      <c r="D201" s="315" t="s">
        <v>227</v>
      </c>
      <c r="E201" s="195" t="s">
        <v>55</v>
      </c>
      <c r="F201" s="281">
        <f>+(2+1.5+7+12+1.5+2+11)*4</f>
        <v>148</v>
      </c>
      <c r="G201" s="229"/>
      <c r="H201" s="244"/>
    </row>
    <row r="202" spans="2:8">
      <c r="B202" s="183" t="s">
        <v>337</v>
      </c>
      <c r="C202" s="198" t="s">
        <v>214</v>
      </c>
      <c r="D202" s="332" t="s">
        <v>215</v>
      </c>
      <c r="E202" s="198" t="s">
        <v>55</v>
      </c>
      <c r="F202" s="281">
        <v>180</v>
      </c>
      <c r="G202" s="229"/>
      <c r="H202" s="244"/>
    </row>
    <row r="203" spans="2:8">
      <c r="B203" s="183" t="s">
        <v>338</v>
      </c>
      <c r="C203" s="198" t="s">
        <v>214</v>
      </c>
      <c r="D203" s="332" t="s">
        <v>217</v>
      </c>
      <c r="E203" s="198" t="s">
        <v>55</v>
      </c>
      <c r="F203" s="281">
        <f>+(14+12+10.5+6+1.5)*3.8</f>
        <v>167.2</v>
      </c>
      <c r="G203" s="229"/>
      <c r="H203" s="244"/>
    </row>
    <row r="204" spans="2:8" ht="25.5">
      <c r="B204" s="183" t="s">
        <v>339</v>
      </c>
      <c r="C204" s="198" t="s">
        <v>214</v>
      </c>
      <c r="D204" s="332" t="s">
        <v>261</v>
      </c>
      <c r="E204" s="198" t="s">
        <v>55</v>
      </c>
      <c r="F204" s="281">
        <f>+(2+2+5+4.5+1)*4</f>
        <v>58</v>
      </c>
      <c r="G204" s="229"/>
      <c r="H204" s="244"/>
    </row>
    <row r="205" spans="2:8">
      <c r="B205" s="183" t="s">
        <v>340</v>
      </c>
      <c r="C205" s="198" t="s">
        <v>233</v>
      </c>
      <c r="D205" s="332" t="s">
        <v>234</v>
      </c>
      <c r="E205" s="198" t="s">
        <v>209</v>
      </c>
      <c r="F205" s="281">
        <f>20*1.5</f>
        <v>30</v>
      </c>
      <c r="G205" s="243"/>
      <c r="H205" s="244"/>
    </row>
    <row r="206" spans="2:8">
      <c r="B206" s="183" t="s">
        <v>341</v>
      </c>
      <c r="C206" s="333"/>
      <c r="D206" s="334" t="s">
        <v>293</v>
      </c>
      <c r="E206" s="331"/>
      <c r="F206" s="291"/>
      <c r="G206" s="243"/>
      <c r="H206" s="244"/>
    </row>
    <row r="207" spans="2:8" ht="51">
      <c r="B207" s="183" t="s">
        <v>342</v>
      </c>
      <c r="C207" s="198" t="s">
        <v>226</v>
      </c>
      <c r="D207" s="315" t="s">
        <v>227</v>
      </c>
      <c r="E207" s="195" t="s">
        <v>55</v>
      </c>
      <c r="F207" s="281">
        <f>+(2+1.5+7+12+1.5+2+11)*4</f>
        <v>148</v>
      </c>
      <c r="G207" s="229"/>
      <c r="H207" s="244"/>
    </row>
    <row r="208" spans="2:8">
      <c r="B208" s="183" t="s">
        <v>343</v>
      </c>
      <c r="C208" s="198" t="s">
        <v>214</v>
      </c>
      <c r="D208" s="332" t="s">
        <v>215</v>
      </c>
      <c r="E208" s="198" t="s">
        <v>55</v>
      </c>
      <c r="F208" s="281">
        <v>180</v>
      </c>
      <c r="G208" s="229"/>
      <c r="H208" s="244"/>
    </row>
    <row r="209" spans="2:8">
      <c r="B209" s="183" t="s">
        <v>344</v>
      </c>
      <c r="C209" s="198" t="s">
        <v>214</v>
      </c>
      <c r="D209" s="332" t="s">
        <v>217</v>
      </c>
      <c r="E209" s="198" t="s">
        <v>55</v>
      </c>
      <c r="F209" s="281">
        <f>+(14+12+10.5+6+1.5)*3.8</f>
        <v>167.2</v>
      </c>
      <c r="G209" s="229"/>
      <c r="H209" s="244"/>
    </row>
    <row r="210" spans="2:8" ht="25.5">
      <c r="B210" s="183" t="s">
        <v>345</v>
      </c>
      <c r="C210" s="198" t="s">
        <v>214</v>
      </c>
      <c r="D210" s="332" t="s">
        <v>261</v>
      </c>
      <c r="E210" s="198" t="s">
        <v>55</v>
      </c>
      <c r="F210" s="281">
        <f>+(2+2+5+4.5+1)*4</f>
        <v>58</v>
      </c>
      <c r="G210" s="229"/>
      <c r="H210" s="244"/>
    </row>
    <row r="211" spans="2:8">
      <c r="B211" s="183" t="s">
        <v>346</v>
      </c>
      <c r="C211" s="198" t="s">
        <v>233</v>
      </c>
      <c r="D211" s="332" t="s">
        <v>234</v>
      </c>
      <c r="E211" s="198" t="s">
        <v>209</v>
      </c>
      <c r="F211" s="281">
        <f>20*1.5</f>
        <v>30</v>
      </c>
      <c r="G211" s="243"/>
      <c r="H211" s="244"/>
    </row>
    <row r="212" spans="2:8">
      <c r="B212" s="183" t="s">
        <v>347</v>
      </c>
      <c r="C212" s="333"/>
      <c r="D212" s="334" t="s">
        <v>348</v>
      </c>
      <c r="E212" s="331"/>
      <c r="F212" s="291"/>
      <c r="G212" s="243"/>
      <c r="H212" s="244"/>
    </row>
    <row r="213" spans="2:8" ht="51">
      <c r="B213" s="183" t="s">
        <v>349</v>
      </c>
      <c r="C213" s="198" t="s">
        <v>226</v>
      </c>
      <c r="D213" s="315" t="s">
        <v>227</v>
      </c>
      <c r="E213" s="195" t="s">
        <v>55</v>
      </c>
      <c r="F213" s="281">
        <f>+(17+2.5+1.5+10.5+7+1.5+2+5+10)*5</f>
        <v>285</v>
      </c>
      <c r="G213" s="229"/>
      <c r="H213" s="244"/>
    </row>
    <row r="214" spans="2:8">
      <c r="B214" s="183" t="s">
        <v>350</v>
      </c>
      <c r="C214" s="198" t="s">
        <v>214</v>
      </c>
      <c r="D214" s="332" t="s">
        <v>215</v>
      </c>
      <c r="E214" s="198" t="s">
        <v>55</v>
      </c>
      <c r="F214" s="281">
        <f>+(10+10+4.5+5+2.5+1+4+2+3+3+2.5+6+1.5+2+2.5+4+2)*4</f>
        <v>262</v>
      </c>
      <c r="G214" s="229"/>
      <c r="H214" s="244"/>
    </row>
    <row r="215" spans="2:8">
      <c r="B215" s="183" t="s">
        <v>351</v>
      </c>
      <c r="C215" s="198" t="s">
        <v>214</v>
      </c>
      <c r="D215" s="332" t="s">
        <v>217</v>
      </c>
      <c r="E215" s="198" t="s">
        <v>55</v>
      </c>
      <c r="F215" s="281">
        <f>+(4+1.5+5.5+5.5+1)*4</f>
        <v>70</v>
      </c>
      <c r="G215" s="229"/>
      <c r="H215" s="244"/>
    </row>
    <row r="216" spans="2:8">
      <c r="B216" s="183" t="s">
        <v>352</v>
      </c>
      <c r="C216" s="198" t="s">
        <v>233</v>
      </c>
      <c r="D216" s="332" t="s">
        <v>234</v>
      </c>
      <c r="E216" s="198" t="s">
        <v>209</v>
      </c>
      <c r="F216" s="281">
        <f>16*1.5</f>
        <v>24</v>
      </c>
      <c r="G216" s="229"/>
      <c r="H216" s="244"/>
    </row>
    <row r="217" spans="2:8" ht="25.5">
      <c r="B217" s="183" t="s">
        <v>353</v>
      </c>
      <c r="C217" s="198"/>
      <c r="D217" s="332" t="s">
        <v>306</v>
      </c>
      <c r="E217" s="198" t="s">
        <v>209</v>
      </c>
      <c r="F217" s="281">
        <f>17+17+2.5+1.5+15.5+15.5+1.5+2</f>
        <v>72.5</v>
      </c>
      <c r="G217" s="229"/>
      <c r="H217" s="244"/>
    </row>
    <row r="218" spans="2:8" ht="15">
      <c r="B218" s="186" t="s">
        <v>354</v>
      </c>
      <c r="C218" s="312"/>
      <c r="D218" s="313" t="s">
        <v>243</v>
      </c>
      <c r="E218" s="314"/>
      <c r="F218" s="283"/>
      <c r="G218" s="233"/>
      <c r="H218" s="234"/>
    </row>
    <row r="219" spans="2:8">
      <c r="B219" s="183" t="s">
        <v>355</v>
      </c>
      <c r="C219" s="333"/>
      <c r="D219" s="334" t="s">
        <v>254</v>
      </c>
      <c r="E219" s="331"/>
      <c r="F219" s="291"/>
      <c r="G219" s="243"/>
      <c r="H219" s="244"/>
    </row>
    <row r="220" spans="2:8" ht="63.75">
      <c r="B220" s="183" t="s">
        <v>356</v>
      </c>
      <c r="C220" s="198" t="s">
        <v>226</v>
      </c>
      <c r="D220" s="315" t="s">
        <v>256</v>
      </c>
      <c r="E220" s="195" t="s">
        <v>55</v>
      </c>
      <c r="F220" s="281">
        <v>220</v>
      </c>
      <c r="G220" s="229"/>
      <c r="H220" s="244"/>
    </row>
    <row r="221" spans="2:8" ht="51">
      <c r="B221" s="183" t="s">
        <v>357</v>
      </c>
      <c r="C221" s="198" t="s">
        <v>226</v>
      </c>
      <c r="D221" s="315" t="s">
        <v>227</v>
      </c>
      <c r="E221" s="195" t="s">
        <v>55</v>
      </c>
      <c r="F221" s="281">
        <f>+(10+4.5*2+9.5+4.5)*4+3*6</f>
        <v>150</v>
      </c>
      <c r="G221" s="229"/>
      <c r="H221" s="244"/>
    </row>
    <row r="222" spans="2:8">
      <c r="B222" s="183" t="s">
        <v>358</v>
      </c>
      <c r="C222" s="198" t="s">
        <v>214</v>
      </c>
      <c r="D222" s="332" t="s">
        <v>215</v>
      </c>
      <c r="E222" s="198" t="s">
        <v>55</v>
      </c>
      <c r="F222" s="281">
        <f>+(3.5+4.5+4*2+4.5+5.5+7+5.5+1.5)*4</f>
        <v>160</v>
      </c>
      <c r="G222" s="229"/>
      <c r="H222" s="244"/>
    </row>
    <row r="223" spans="2:8" ht="25.5">
      <c r="B223" s="183" t="s">
        <v>359</v>
      </c>
      <c r="C223" s="198" t="s">
        <v>214</v>
      </c>
      <c r="D223" s="332" t="s">
        <v>261</v>
      </c>
      <c r="E223" s="198" t="s">
        <v>55</v>
      </c>
      <c r="F223" s="281">
        <f>0.4*3*4</f>
        <v>4.8000000000000007</v>
      </c>
      <c r="G223" s="229"/>
      <c r="H223" s="244"/>
    </row>
    <row r="224" spans="2:8">
      <c r="B224" s="183" t="s">
        <v>360</v>
      </c>
      <c r="C224" s="198" t="s">
        <v>233</v>
      </c>
      <c r="D224" s="332" t="s">
        <v>234</v>
      </c>
      <c r="E224" s="198" t="s">
        <v>209</v>
      </c>
      <c r="F224" s="281">
        <f>7*7.5+3.5+8*1.5</f>
        <v>68</v>
      </c>
      <c r="G224" s="229"/>
      <c r="H224" s="244"/>
    </row>
    <row r="225" spans="2:8">
      <c r="B225" s="183" t="s">
        <v>361</v>
      </c>
      <c r="C225" s="333"/>
      <c r="D225" s="334" t="s">
        <v>264</v>
      </c>
      <c r="E225" s="331"/>
      <c r="F225" s="291"/>
      <c r="G225" s="243"/>
      <c r="H225" s="244"/>
    </row>
    <row r="226" spans="2:8" ht="63.75">
      <c r="B226" s="183" t="s">
        <v>362</v>
      </c>
      <c r="C226" s="198" t="s">
        <v>226</v>
      </c>
      <c r="D226" s="315" t="s">
        <v>256</v>
      </c>
      <c r="E226" s="195" t="s">
        <v>55</v>
      </c>
      <c r="F226" s="281">
        <f>+F220</f>
        <v>220</v>
      </c>
      <c r="G226" s="229"/>
      <c r="H226" s="244"/>
    </row>
    <row r="227" spans="2:8" ht="51">
      <c r="B227" s="183" t="s">
        <v>363</v>
      </c>
      <c r="C227" s="198" t="s">
        <v>226</v>
      </c>
      <c r="D227" s="315" t="s">
        <v>227</v>
      </c>
      <c r="E227" s="195" t="s">
        <v>55</v>
      </c>
      <c r="F227" s="281">
        <f>+(10+4.5*2+9.5)*4+3*6</f>
        <v>132</v>
      </c>
      <c r="G227" s="229"/>
      <c r="H227" s="244"/>
    </row>
    <row r="228" spans="2:8">
      <c r="B228" s="183" t="s">
        <v>364</v>
      </c>
      <c r="C228" s="198" t="s">
        <v>214</v>
      </c>
      <c r="D228" s="332" t="s">
        <v>215</v>
      </c>
      <c r="E228" s="198" t="s">
        <v>55</v>
      </c>
      <c r="F228" s="281">
        <f>+(1.5+3+5.5+5)*4</f>
        <v>60</v>
      </c>
      <c r="G228" s="229"/>
      <c r="H228" s="244"/>
    </row>
    <row r="229" spans="2:8">
      <c r="B229" s="183" t="s">
        <v>365</v>
      </c>
      <c r="C229" s="198" t="s">
        <v>214</v>
      </c>
      <c r="D229" s="332" t="s">
        <v>231</v>
      </c>
      <c r="E229" s="198" t="s">
        <v>55</v>
      </c>
      <c r="F229" s="281">
        <f>+F223</f>
        <v>4.8000000000000007</v>
      </c>
      <c r="G229" s="229"/>
      <c r="H229" s="244"/>
    </row>
    <row r="230" spans="2:8">
      <c r="B230" s="183" t="s">
        <v>366</v>
      </c>
      <c r="C230" s="198" t="s">
        <v>233</v>
      </c>
      <c r="D230" s="332" t="s">
        <v>234</v>
      </c>
      <c r="E230" s="198" t="s">
        <v>209</v>
      </c>
      <c r="F230" s="281">
        <f>7*7.5+3.5+2*1.5</f>
        <v>59</v>
      </c>
      <c r="G230" s="229"/>
      <c r="H230" s="244"/>
    </row>
    <row r="231" spans="2:8">
      <c r="B231" s="183" t="s">
        <v>367</v>
      </c>
      <c r="C231" s="333"/>
      <c r="D231" s="334" t="s">
        <v>272</v>
      </c>
      <c r="E231" s="331"/>
      <c r="F231" s="291"/>
      <c r="G231" s="243"/>
      <c r="H231" s="244"/>
    </row>
    <row r="232" spans="2:8" ht="63.75">
      <c r="B232" s="183" t="s">
        <v>368</v>
      </c>
      <c r="C232" s="198" t="s">
        <v>226</v>
      </c>
      <c r="D232" s="315" t="s">
        <v>256</v>
      </c>
      <c r="E232" s="195" t="s">
        <v>55</v>
      </c>
      <c r="F232" s="281">
        <v>250</v>
      </c>
      <c r="G232" s="229"/>
      <c r="H232" s="244"/>
    </row>
    <row r="233" spans="2:8" ht="51">
      <c r="B233" s="183" t="s">
        <v>369</v>
      </c>
      <c r="C233" s="198" t="s">
        <v>226</v>
      </c>
      <c r="D233" s="315" t="s">
        <v>227</v>
      </c>
      <c r="E233" s="195" t="s">
        <v>55</v>
      </c>
      <c r="F233" s="281">
        <f>+(4.5*2+10+9.5)*4+3*7</f>
        <v>135</v>
      </c>
      <c r="G233" s="229"/>
      <c r="H233" s="244"/>
    </row>
    <row r="234" spans="2:8">
      <c r="B234" s="183" t="s">
        <v>370</v>
      </c>
      <c r="C234" s="198" t="s">
        <v>214</v>
      </c>
      <c r="D234" s="332" t="s">
        <v>215</v>
      </c>
      <c r="E234" s="198" t="s">
        <v>55</v>
      </c>
      <c r="F234" s="281">
        <f>+(1.5+5.5+4.5)*4</f>
        <v>46</v>
      </c>
      <c r="G234" s="229"/>
      <c r="H234" s="244"/>
    </row>
    <row r="235" spans="2:8">
      <c r="B235" s="183" t="s">
        <v>371</v>
      </c>
      <c r="C235" s="198" t="s">
        <v>214</v>
      </c>
      <c r="D235" s="332" t="s">
        <v>231</v>
      </c>
      <c r="E235" s="198" t="s">
        <v>55</v>
      </c>
      <c r="F235" s="281">
        <f>0.4*2*4</f>
        <v>3.2</v>
      </c>
      <c r="G235" s="229"/>
      <c r="H235" s="244"/>
    </row>
    <row r="236" spans="2:8">
      <c r="B236" s="183" t="s">
        <v>372</v>
      </c>
      <c r="C236" s="198" t="s">
        <v>233</v>
      </c>
      <c r="D236" s="332" t="s">
        <v>234</v>
      </c>
      <c r="E236" s="198" t="s">
        <v>209</v>
      </c>
      <c r="F236" s="281">
        <f>2*1.5</f>
        <v>3</v>
      </c>
      <c r="G236" s="229"/>
      <c r="H236" s="244"/>
    </row>
    <row r="237" spans="2:8">
      <c r="B237" s="183" t="s">
        <v>373</v>
      </c>
      <c r="C237" s="333"/>
      <c r="D237" s="334" t="s">
        <v>279</v>
      </c>
      <c r="E237" s="331"/>
      <c r="F237" s="291"/>
      <c r="G237" s="243"/>
      <c r="H237" s="244"/>
    </row>
    <row r="238" spans="2:8" ht="63.75">
      <c r="B238" s="183" t="s">
        <v>374</v>
      </c>
      <c r="C238" s="198" t="s">
        <v>226</v>
      </c>
      <c r="D238" s="315" t="s">
        <v>256</v>
      </c>
      <c r="E238" s="195" t="s">
        <v>55</v>
      </c>
      <c r="F238" s="281">
        <v>250</v>
      </c>
      <c r="G238" s="229"/>
      <c r="H238" s="244"/>
    </row>
    <row r="239" spans="2:8" ht="51">
      <c r="B239" s="183" t="s">
        <v>375</v>
      </c>
      <c r="C239" s="198" t="s">
        <v>226</v>
      </c>
      <c r="D239" s="315" t="s">
        <v>227</v>
      </c>
      <c r="E239" s="195" t="s">
        <v>55</v>
      </c>
      <c r="F239" s="281">
        <f>+(4.5*2+10+9.5)*4+3*7</f>
        <v>135</v>
      </c>
      <c r="G239" s="229"/>
      <c r="H239" s="244"/>
    </row>
    <row r="240" spans="2:8">
      <c r="B240" s="183" t="s">
        <v>376</v>
      </c>
      <c r="C240" s="198" t="s">
        <v>214</v>
      </c>
      <c r="D240" s="332" t="s">
        <v>215</v>
      </c>
      <c r="E240" s="198" t="s">
        <v>55</v>
      </c>
      <c r="F240" s="281">
        <f>+(1.5+5.5+4.5)*4</f>
        <v>46</v>
      </c>
      <c r="G240" s="229"/>
      <c r="H240" s="244"/>
    </row>
    <row r="241" spans="2:8">
      <c r="B241" s="183" t="s">
        <v>377</v>
      </c>
      <c r="C241" s="198" t="s">
        <v>214</v>
      </c>
      <c r="D241" s="332" t="s">
        <v>231</v>
      </c>
      <c r="E241" s="198" t="s">
        <v>55</v>
      </c>
      <c r="F241" s="281">
        <f>0.4*2*4</f>
        <v>3.2</v>
      </c>
      <c r="G241" s="229"/>
      <c r="H241" s="244"/>
    </row>
    <row r="242" spans="2:8">
      <c r="B242" s="183" t="s">
        <v>378</v>
      </c>
      <c r="C242" s="198" t="s">
        <v>233</v>
      </c>
      <c r="D242" s="332" t="s">
        <v>234</v>
      </c>
      <c r="E242" s="198" t="s">
        <v>209</v>
      </c>
      <c r="F242" s="281">
        <f>2*1.5</f>
        <v>3</v>
      </c>
      <c r="G242" s="229"/>
      <c r="H242" s="244"/>
    </row>
    <row r="243" spans="2:8">
      <c r="B243" s="183" t="s">
        <v>379</v>
      </c>
      <c r="C243" s="333"/>
      <c r="D243" s="334" t="s">
        <v>380</v>
      </c>
      <c r="E243" s="331"/>
      <c r="F243" s="291"/>
      <c r="G243" s="243"/>
      <c r="H243" s="244"/>
    </row>
    <row r="244" spans="2:8" ht="51">
      <c r="B244" s="183" t="s">
        <v>381</v>
      </c>
      <c r="C244" s="198" t="s">
        <v>226</v>
      </c>
      <c r="D244" s="315" t="s">
        <v>227</v>
      </c>
      <c r="E244" s="195" t="s">
        <v>55</v>
      </c>
      <c r="F244" s="281">
        <f>0.5*2*3.4</f>
        <v>3.4</v>
      </c>
      <c r="G244" s="229"/>
      <c r="H244" s="244"/>
    </row>
    <row r="245" spans="2:8">
      <c r="B245" s="183" t="s">
        <v>382</v>
      </c>
      <c r="C245" s="198" t="s">
        <v>214</v>
      </c>
      <c r="D245" s="332" t="s">
        <v>215</v>
      </c>
      <c r="E245" s="198" t="s">
        <v>55</v>
      </c>
      <c r="F245" s="281">
        <f>3.4*2*2+5.1*(2.6+3.4)*2+2.6*9.5*2+9.5*3.4+1.5*3.2*2+2.5*3.6+9.4*3.6+6.4*(2.6+3.6)*0.5+21*2.6*2+6.3*(2.6+3.6)</f>
        <v>377.04</v>
      </c>
      <c r="G245" s="229"/>
      <c r="H245" s="244"/>
    </row>
    <row r="246" spans="2:8">
      <c r="B246" s="183" t="s">
        <v>383</v>
      </c>
      <c r="C246" s="198" t="s">
        <v>233</v>
      </c>
      <c r="D246" s="332" t="s">
        <v>234</v>
      </c>
      <c r="E246" s="198" t="s">
        <v>209</v>
      </c>
      <c r="F246" s="281">
        <f>10*1.5</f>
        <v>15</v>
      </c>
      <c r="G246" s="229"/>
      <c r="H246" s="244"/>
    </row>
    <row r="247" spans="2:8" ht="25.5">
      <c r="B247" s="183" t="s">
        <v>384</v>
      </c>
      <c r="C247" s="198"/>
      <c r="D247" s="332" t="s">
        <v>385</v>
      </c>
      <c r="E247" s="198" t="s">
        <v>209</v>
      </c>
      <c r="F247" s="281">
        <f>35.5+36+17</f>
        <v>88.5</v>
      </c>
      <c r="G247" s="229"/>
      <c r="H247" s="244"/>
    </row>
    <row r="248" spans="2:8" ht="25.5">
      <c r="B248" s="183" t="s">
        <v>386</v>
      </c>
      <c r="C248" s="198"/>
      <c r="D248" s="332" t="s">
        <v>387</v>
      </c>
      <c r="E248" s="198" t="s">
        <v>209</v>
      </c>
      <c r="F248" s="281">
        <f>10+4*2</f>
        <v>18</v>
      </c>
      <c r="G248" s="229"/>
      <c r="H248" s="244"/>
    </row>
    <row r="249" spans="2:8" ht="15">
      <c r="B249" s="186" t="s">
        <v>388</v>
      </c>
      <c r="C249" s="312"/>
      <c r="D249" s="313" t="s">
        <v>112</v>
      </c>
      <c r="E249" s="314"/>
      <c r="F249" s="283"/>
      <c r="G249" s="233"/>
      <c r="H249" s="234"/>
    </row>
    <row r="250" spans="2:8">
      <c r="B250" s="183" t="s">
        <v>389</v>
      </c>
      <c r="C250" s="333"/>
      <c r="D250" s="334" t="s">
        <v>390</v>
      </c>
      <c r="E250" s="331"/>
      <c r="F250" s="291"/>
      <c r="G250" s="243"/>
      <c r="H250" s="244"/>
    </row>
    <row r="251" spans="2:8" ht="25.5">
      <c r="B251" s="129" t="s">
        <v>391</v>
      </c>
      <c r="C251" s="198" t="s">
        <v>226</v>
      </c>
      <c r="D251" s="332" t="s">
        <v>392</v>
      </c>
      <c r="E251" s="198" t="s">
        <v>55</v>
      </c>
      <c r="F251" s="281">
        <f>+(14+7)*7+32*4+4.5*4+2.5*3.8+8*3.8</f>
        <v>332.9</v>
      </c>
      <c r="G251" s="229"/>
      <c r="H251" s="244"/>
    </row>
    <row r="252" spans="2:8">
      <c r="B252" s="129" t="s">
        <v>393</v>
      </c>
      <c r="C252" s="198" t="s">
        <v>214</v>
      </c>
      <c r="D252" s="332" t="s">
        <v>215</v>
      </c>
      <c r="E252" s="198" t="s">
        <v>55</v>
      </c>
      <c r="F252" s="281">
        <f>+(6.4+3.7+3+2.5+1.2+4.8+2.9+8.8)*3.5+(15+5+6+3+3.5+5+3.5)*3.8+(4.5*2+16+3+12.5+3.5*3+3.5+6+2+3.5+6)*3.8-1.2*8</f>
        <v>536.34999999999991</v>
      </c>
      <c r="G252" s="229"/>
      <c r="H252" s="244"/>
    </row>
    <row r="253" spans="2:8" ht="25.5">
      <c r="B253" s="129" t="s">
        <v>394</v>
      </c>
      <c r="C253" s="198"/>
      <c r="D253" s="332" t="s">
        <v>395</v>
      </c>
      <c r="E253" s="198" t="s">
        <v>309</v>
      </c>
      <c r="F253" s="281">
        <v>1</v>
      </c>
      <c r="G253" s="229"/>
      <c r="H253" s="244"/>
    </row>
    <row r="254" spans="2:8">
      <c r="B254" s="129" t="s">
        <v>396</v>
      </c>
      <c r="C254" s="198" t="s">
        <v>233</v>
      </c>
      <c r="D254" s="332" t="s">
        <v>234</v>
      </c>
      <c r="E254" s="198" t="s">
        <v>209</v>
      </c>
      <c r="F254" s="281">
        <v>30.5</v>
      </c>
      <c r="G254" s="229"/>
      <c r="H254" s="244"/>
    </row>
    <row r="255" spans="2:8">
      <c r="B255" s="183" t="s">
        <v>397</v>
      </c>
      <c r="C255" s="333"/>
      <c r="D255" s="334" t="s">
        <v>398</v>
      </c>
      <c r="E255" s="331"/>
      <c r="F255" s="287"/>
      <c r="G255" s="243"/>
      <c r="H255" s="242"/>
    </row>
    <row r="256" spans="2:8" ht="25.5">
      <c r="B256" s="183" t="s">
        <v>399</v>
      </c>
      <c r="C256" s="198" t="s">
        <v>226</v>
      </c>
      <c r="D256" s="332" t="s">
        <v>392</v>
      </c>
      <c r="E256" s="198" t="s">
        <v>55</v>
      </c>
      <c r="F256" s="281"/>
      <c r="G256" s="229"/>
      <c r="H256" s="244"/>
    </row>
    <row r="257" spans="2:8">
      <c r="B257" s="183" t="s">
        <v>400</v>
      </c>
      <c r="C257" s="198" t="s">
        <v>214</v>
      </c>
      <c r="D257" s="332" t="s">
        <v>215</v>
      </c>
      <c r="E257" s="198" t="s">
        <v>55</v>
      </c>
      <c r="F257" s="281">
        <f>+(7.5+5.5+4.5+6+5.5+1+4.5+10.5+4.5+3.5+6+20)*3.8</f>
        <v>300.2</v>
      </c>
      <c r="G257" s="229"/>
      <c r="H257" s="244"/>
    </row>
    <row r="258" spans="2:8">
      <c r="B258" s="183" t="s">
        <v>401</v>
      </c>
      <c r="C258" s="198" t="s">
        <v>214</v>
      </c>
      <c r="D258" s="332" t="s">
        <v>217</v>
      </c>
      <c r="E258" s="198" t="s">
        <v>55</v>
      </c>
      <c r="F258" s="281">
        <f>6*3.8</f>
        <v>22.799999999999997</v>
      </c>
      <c r="G258" s="229"/>
      <c r="H258" s="244"/>
    </row>
    <row r="259" spans="2:8">
      <c r="B259" s="183" t="s">
        <v>402</v>
      </c>
      <c r="C259" s="198" t="s">
        <v>214</v>
      </c>
      <c r="D259" s="332" t="s">
        <v>231</v>
      </c>
      <c r="E259" s="198" t="s">
        <v>55</v>
      </c>
      <c r="F259" s="281">
        <f>7*3.8</f>
        <v>26.599999999999998</v>
      </c>
      <c r="G259" s="229"/>
      <c r="H259" s="244"/>
    </row>
    <row r="260" spans="2:8">
      <c r="B260" s="183" t="s">
        <v>403</v>
      </c>
      <c r="C260" s="198" t="s">
        <v>233</v>
      </c>
      <c r="D260" s="332" t="s">
        <v>234</v>
      </c>
      <c r="E260" s="198" t="s">
        <v>209</v>
      </c>
      <c r="F260" s="281">
        <f>12*1.5</f>
        <v>18</v>
      </c>
      <c r="G260" s="229"/>
      <c r="H260" s="244"/>
    </row>
    <row r="261" spans="2:8" ht="25.5">
      <c r="B261" s="183" t="s">
        <v>404</v>
      </c>
      <c r="C261" s="198"/>
      <c r="D261" s="332" t="s">
        <v>405</v>
      </c>
      <c r="E261" s="198" t="s">
        <v>209</v>
      </c>
      <c r="F261" s="281">
        <f>84+45.5</f>
        <v>129.5</v>
      </c>
      <c r="G261" s="229"/>
      <c r="H261" s="244"/>
    </row>
    <row r="262" spans="2:8" ht="14.25">
      <c r="B262" s="186" t="s">
        <v>406</v>
      </c>
      <c r="C262" s="323"/>
      <c r="D262" s="324" t="s">
        <v>407</v>
      </c>
      <c r="E262" s="325"/>
      <c r="F262" s="286"/>
      <c r="G262" s="238"/>
      <c r="H262" s="239"/>
    </row>
    <row r="263" spans="2:8">
      <c r="B263" s="228" t="s">
        <v>408</v>
      </c>
      <c r="C263" s="332"/>
      <c r="D263" s="334" t="s">
        <v>409</v>
      </c>
      <c r="E263" s="187"/>
      <c r="F263" s="281"/>
      <c r="G263" s="244"/>
      <c r="H263" s="380"/>
    </row>
    <row r="264" spans="2:8" ht="51">
      <c r="B264" s="228" t="s">
        <v>410</v>
      </c>
      <c r="C264" s="198" t="s">
        <v>226</v>
      </c>
      <c r="D264" s="315" t="s">
        <v>227</v>
      </c>
      <c r="E264" s="195" t="s">
        <v>55</v>
      </c>
      <c r="F264" s="281">
        <f>+(4+12.5+7)*3.2+4.5*8.5*2+19*5</f>
        <v>246.7</v>
      </c>
      <c r="G264" s="229"/>
      <c r="H264" s="241"/>
    </row>
    <row r="265" spans="2:8">
      <c r="B265" s="228" t="s">
        <v>411</v>
      </c>
      <c r="C265" s="198" t="s">
        <v>214</v>
      </c>
      <c r="D265" s="332" t="s">
        <v>215</v>
      </c>
      <c r="E265" s="198" t="s">
        <v>55</v>
      </c>
      <c r="F265" s="281">
        <f>+(12.5+3.5*3+3)*3.2+18*4+4.5*7*2</f>
        <v>218.2</v>
      </c>
      <c r="G265" s="240"/>
      <c r="H265" s="241"/>
    </row>
    <row r="266" spans="2:8">
      <c r="B266" s="228" t="s">
        <v>412</v>
      </c>
      <c r="C266" s="198" t="s">
        <v>233</v>
      </c>
      <c r="D266" s="332" t="s">
        <v>234</v>
      </c>
      <c r="E266" s="198" t="s">
        <v>209</v>
      </c>
      <c r="F266" s="281">
        <f>10*1.5</f>
        <v>15</v>
      </c>
      <c r="G266" s="229"/>
      <c r="H266" s="244"/>
    </row>
    <row r="267" spans="2:8">
      <c r="B267" s="228" t="s">
        <v>413</v>
      </c>
      <c r="C267" s="198"/>
      <c r="D267" s="332" t="s">
        <v>414</v>
      </c>
      <c r="E267" s="198"/>
      <c r="F267" s="281"/>
      <c r="G267" s="229"/>
      <c r="H267" s="244"/>
    </row>
    <row r="268" spans="2:8" ht="51">
      <c r="B268" s="228" t="s">
        <v>415</v>
      </c>
      <c r="C268" s="198" t="s">
        <v>226</v>
      </c>
      <c r="D268" s="315" t="s">
        <v>227</v>
      </c>
      <c r="E268" s="195" t="s">
        <v>55</v>
      </c>
      <c r="F268" s="281">
        <v>166.6</v>
      </c>
      <c r="G268" s="229"/>
      <c r="H268" s="244"/>
    </row>
    <row r="269" spans="2:8">
      <c r="B269" s="228" t="s">
        <v>416</v>
      </c>
      <c r="C269" s="198" t="s">
        <v>214</v>
      </c>
      <c r="D269" s="332" t="s">
        <v>215</v>
      </c>
      <c r="E269" s="198" t="s">
        <v>55</v>
      </c>
      <c r="F269" s="281">
        <v>38</v>
      </c>
      <c r="G269" s="229"/>
      <c r="H269" s="244"/>
    </row>
    <row r="270" spans="2:8">
      <c r="B270" s="228" t="s">
        <v>417</v>
      </c>
      <c r="C270" s="198" t="s">
        <v>214</v>
      </c>
      <c r="D270" s="332" t="s">
        <v>217</v>
      </c>
      <c r="E270" s="198" t="s">
        <v>55</v>
      </c>
      <c r="F270" s="281">
        <v>16</v>
      </c>
      <c r="G270" s="229"/>
      <c r="H270" s="244"/>
    </row>
    <row r="271" spans="2:8">
      <c r="B271" s="228" t="s">
        <v>418</v>
      </c>
      <c r="C271" s="198" t="s">
        <v>233</v>
      </c>
      <c r="D271" s="332" t="s">
        <v>234</v>
      </c>
      <c r="E271" s="198" t="s">
        <v>209</v>
      </c>
      <c r="F271" s="281">
        <v>15</v>
      </c>
      <c r="G271" s="229"/>
      <c r="H271" s="244"/>
    </row>
    <row r="272" spans="2:8">
      <c r="B272" s="129" t="s">
        <v>408</v>
      </c>
      <c r="C272" s="198"/>
      <c r="D272" s="332" t="s">
        <v>419</v>
      </c>
      <c r="E272" s="198"/>
      <c r="F272" s="281"/>
      <c r="G272" s="229"/>
      <c r="H272" s="244"/>
    </row>
    <row r="273" spans="2:8" ht="51">
      <c r="B273" s="129" t="s">
        <v>410</v>
      </c>
      <c r="C273" s="198" t="s">
        <v>226</v>
      </c>
      <c r="D273" s="315" t="s">
        <v>227</v>
      </c>
      <c r="E273" s="195" t="s">
        <v>55</v>
      </c>
      <c r="F273" s="281">
        <f>16*3</f>
        <v>48</v>
      </c>
      <c r="G273" s="229"/>
      <c r="H273" s="244"/>
    </row>
    <row r="274" spans="2:8" ht="13.5" thickBot="1">
      <c r="B274" s="129" t="s">
        <v>411</v>
      </c>
      <c r="C274" s="198" t="s">
        <v>233</v>
      </c>
      <c r="D274" s="332" t="s">
        <v>234</v>
      </c>
      <c r="E274" s="198" t="s">
        <v>209</v>
      </c>
      <c r="F274" s="281">
        <v>4.8</v>
      </c>
      <c r="G274" s="229"/>
      <c r="H274" s="244"/>
    </row>
    <row r="275" spans="2:8" ht="16.5" thickBot="1">
      <c r="B275" s="479">
        <v>6</v>
      </c>
      <c r="C275" s="480" t="s">
        <v>420</v>
      </c>
      <c r="D275" s="481" t="s">
        <v>421</v>
      </c>
      <c r="E275" s="482"/>
      <c r="F275" s="483"/>
      <c r="G275" s="493"/>
      <c r="H275" s="280"/>
    </row>
    <row r="276" spans="2:8" ht="51">
      <c r="B276" s="190" t="s">
        <v>422</v>
      </c>
      <c r="C276" s="355" t="s">
        <v>423</v>
      </c>
      <c r="D276" s="506" t="s">
        <v>424</v>
      </c>
      <c r="E276" s="355" t="s">
        <v>309</v>
      </c>
      <c r="F276" s="381">
        <v>1</v>
      </c>
      <c r="G276" s="507"/>
      <c r="H276" s="232"/>
    </row>
    <row r="277" spans="2:8" ht="51">
      <c r="B277" s="129" t="s">
        <v>425</v>
      </c>
      <c r="C277" s="198" t="s">
        <v>423</v>
      </c>
      <c r="D277" s="332" t="s">
        <v>426</v>
      </c>
      <c r="E277" s="198" t="s">
        <v>309</v>
      </c>
      <c r="F277" s="281">
        <v>1</v>
      </c>
      <c r="G277" s="229"/>
      <c r="H277" s="244"/>
    </row>
    <row r="278" spans="2:8" ht="51">
      <c r="B278" s="129" t="s">
        <v>427</v>
      </c>
      <c r="C278" s="326" t="s">
        <v>423</v>
      </c>
      <c r="D278" s="335" t="s">
        <v>428</v>
      </c>
      <c r="E278" s="198" t="s">
        <v>309</v>
      </c>
      <c r="F278" s="292">
        <v>1</v>
      </c>
      <c r="G278" s="245"/>
      <c r="H278" s="246"/>
    </row>
    <row r="279" spans="2:8" ht="51">
      <c r="B279" s="129" t="s">
        <v>429</v>
      </c>
      <c r="C279" s="326" t="s">
        <v>423</v>
      </c>
      <c r="D279" s="335" t="s">
        <v>430</v>
      </c>
      <c r="E279" s="198" t="s">
        <v>309</v>
      </c>
      <c r="F279" s="292">
        <v>1</v>
      </c>
      <c r="G279" s="245"/>
      <c r="H279" s="246"/>
    </row>
    <row r="280" spans="2:8" ht="76.5">
      <c r="B280" s="129" t="s">
        <v>431</v>
      </c>
      <c r="C280" s="198" t="s">
        <v>423</v>
      </c>
      <c r="D280" s="332" t="s">
        <v>432</v>
      </c>
      <c r="E280" s="198" t="s">
        <v>309</v>
      </c>
      <c r="F280" s="281">
        <v>1</v>
      </c>
      <c r="G280" s="229"/>
      <c r="H280" s="244"/>
    </row>
    <row r="281" spans="2:8" ht="76.5">
      <c r="B281" s="129" t="s">
        <v>433</v>
      </c>
      <c r="C281" s="198" t="s">
        <v>423</v>
      </c>
      <c r="D281" s="332" t="s">
        <v>434</v>
      </c>
      <c r="E281" s="198" t="s">
        <v>309</v>
      </c>
      <c r="F281" s="281">
        <v>1</v>
      </c>
      <c r="G281" s="229"/>
      <c r="H281" s="244"/>
    </row>
    <row r="282" spans="2:8" ht="38.25">
      <c r="B282" s="129" t="s">
        <v>435</v>
      </c>
      <c r="C282" s="198" t="s">
        <v>423</v>
      </c>
      <c r="D282" s="332" t="s">
        <v>436</v>
      </c>
      <c r="E282" s="198" t="s">
        <v>309</v>
      </c>
      <c r="F282" s="281">
        <v>1</v>
      </c>
      <c r="G282" s="229"/>
      <c r="H282" s="244"/>
    </row>
    <row r="283" spans="2:8" ht="39" thickBot="1">
      <c r="B283" s="129" t="s">
        <v>437</v>
      </c>
      <c r="C283" s="326" t="s">
        <v>423</v>
      </c>
      <c r="D283" s="332" t="s">
        <v>438</v>
      </c>
      <c r="E283" s="198" t="s">
        <v>309</v>
      </c>
      <c r="F283" s="281">
        <v>1</v>
      </c>
      <c r="G283" s="229"/>
      <c r="H283" s="241"/>
    </row>
    <row r="284" spans="2:8" ht="16.5" thickBot="1">
      <c r="B284" s="479" t="s">
        <v>439</v>
      </c>
      <c r="C284" s="480" t="s">
        <v>440</v>
      </c>
      <c r="D284" s="481" t="s">
        <v>441</v>
      </c>
      <c r="E284" s="482"/>
      <c r="F284" s="483"/>
      <c r="G284" s="493"/>
      <c r="H284" s="280"/>
    </row>
    <row r="285" spans="2:8" ht="15">
      <c r="B285" s="486" t="s">
        <v>442</v>
      </c>
      <c r="C285" s="487"/>
      <c r="D285" s="488" t="s">
        <v>133</v>
      </c>
      <c r="E285" s="489"/>
      <c r="F285" s="490"/>
      <c r="G285" s="491"/>
      <c r="H285" s="492"/>
    </row>
    <row r="286" spans="2:8">
      <c r="B286" s="129" t="s">
        <v>443</v>
      </c>
      <c r="C286" s="198" t="s">
        <v>444</v>
      </c>
      <c r="D286" s="332" t="s">
        <v>445</v>
      </c>
      <c r="E286" s="198" t="s">
        <v>55</v>
      </c>
      <c r="F286" s="281">
        <f>18.6*18.6-5*5</f>
        <v>320.96000000000004</v>
      </c>
      <c r="G286" s="229"/>
      <c r="H286" s="235"/>
    </row>
    <row r="287" spans="2:8">
      <c r="B287" s="129" t="s">
        <v>446</v>
      </c>
      <c r="C287" s="198" t="s">
        <v>447</v>
      </c>
      <c r="D287" s="332" t="s">
        <v>448</v>
      </c>
      <c r="E287" s="198" t="s">
        <v>55</v>
      </c>
      <c r="F287" s="293">
        <f>18.5*4*4.2</f>
        <v>310.8</v>
      </c>
      <c r="G287" s="229"/>
      <c r="H287" s="235"/>
    </row>
    <row r="288" spans="2:8" ht="25.5">
      <c r="B288" s="129" t="s">
        <v>449</v>
      </c>
      <c r="C288" s="198" t="s">
        <v>450</v>
      </c>
      <c r="D288" s="332" t="s">
        <v>451</v>
      </c>
      <c r="E288" s="198" t="s">
        <v>452</v>
      </c>
      <c r="F288" s="281">
        <v>1</v>
      </c>
      <c r="G288" s="229"/>
      <c r="H288" s="235"/>
    </row>
    <row r="289" spans="2:8">
      <c r="B289" s="129" t="s">
        <v>453</v>
      </c>
      <c r="C289" s="198" t="s">
        <v>450</v>
      </c>
      <c r="D289" s="332" t="s">
        <v>454</v>
      </c>
      <c r="E289" s="198" t="s">
        <v>452</v>
      </c>
      <c r="F289" s="281">
        <v>1</v>
      </c>
      <c r="G289" s="229"/>
      <c r="H289" s="235"/>
    </row>
    <row r="290" spans="2:8" ht="25.5">
      <c r="B290" s="129" t="s">
        <v>455</v>
      </c>
      <c r="C290" s="198" t="s">
        <v>450</v>
      </c>
      <c r="D290" s="332" t="s">
        <v>456</v>
      </c>
      <c r="E290" s="198" t="s">
        <v>452</v>
      </c>
      <c r="F290" s="281">
        <v>1</v>
      </c>
      <c r="G290" s="229"/>
      <c r="H290" s="242"/>
    </row>
    <row r="291" spans="2:8">
      <c r="B291" s="129" t="s">
        <v>457</v>
      </c>
      <c r="C291" s="198" t="s">
        <v>458</v>
      </c>
      <c r="D291" s="332" t="s">
        <v>459</v>
      </c>
      <c r="E291" s="198" t="s">
        <v>55</v>
      </c>
      <c r="F291" s="281">
        <f>2*4+3.5*1.8</f>
        <v>14.3</v>
      </c>
      <c r="G291" s="229"/>
      <c r="H291" s="242"/>
    </row>
    <row r="292" spans="2:8" ht="15">
      <c r="B292" s="186" t="s">
        <v>460</v>
      </c>
      <c r="C292" s="312"/>
      <c r="D292" s="313" t="s">
        <v>222</v>
      </c>
      <c r="E292" s="314"/>
      <c r="F292" s="283"/>
      <c r="G292" s="233"/>
      <c r="H292" s="234"/>
    </row>
    <row r="293" spans="2:8">
      <c r="B293" s="199" t="s">
        <v>461</v>
      </c>
      <c r="C293" s="200"/>
      <c r="D293" s="336" t="s">
        <v>224</v>
      </c>
      <c r="E293" s="201"/>
      <c r="F293" s="294"/>
      <c r="G293" s="247"/>
      <c r="H293" s="248"/>
    </row>
    <row r="294" spans="2:8">
      <c r="B294" s="199" t="s">
        <v>462</v>
      </c>
      <c r="C294" s="198" t="s">
        <v>444</v>
      </c>
      <c r="D294" s="332" t="s">
        <v>463</v>
      </c>
      <c r="E294" s="198" t="s">
        <v>55</v>
      </c>
      <c r="F294" s="294">
        <f>743+45</f>
        <v>788</v>
      </c>
      <c r="G294" s="229"/>
      <c r="H294" s="235"/>
    </row>
    <row r="295" spans="2:8">
      <c r="B295" s="199" t="s">
        <v>464</v>
      </c>
      <c r="C295" s="200" t="s">
        <v>458</v>
      </c>
      <c r="D295" s="337" t="s">
        <v>465</v>
      </c>
      <c r="E295" s="200" t="s">
        <v>55</v>
      </c>
      <c r="F295" s="295">
        <f>2.5*2.4</f>
        <v>6</v>
      </c>
      <c r="G295" s="249"/>
      <c r="H295" s="250"/>
    </row>
    <row r="296" spans="2:8" ht="25.5">
      <c r="B296" s="199" t="s">
        <v>466</v>
      </c>
      <c r="C296" s="200" t="s">
        <v>467</v>
      </c>
      <c r="D296" s="338" t="s">
        <v>468</v>
      </c>
      <c r="E296" s="200" t="s">
        <v>55</v>
      </c>
      <c r="F296" s="295">
        <f>+(8.3+4.3+15+40)*4</f>
        <v>270.39999999999998</v>
      </c>
      <c r="G296" s="249"/>
      <c r="H296" s="248"/>
    </row>
    <row r="297" spans="2:8">
      <c r="B297" s="199" t="s">
        <v>469</v>
      </c>
      <c r="C297" s="200" t="s">
        <v>470</v>
      </c>
      <c r="D297" s="338" t="s">
        <v>471</v>
      </c>
      <c r="E297" s="200" t="s">
        <v>55</v>
      </c>
      <c r="F297" s="295">
        <f>13.5*4</f>
        <v>54</v>
      </c>
      <c r="G297" s="249"/>
      <c r="H297" s="248"/>
    </row>
    <row r="298" spans="2:8">
      <c r="B298" s="199" t="s">
        <v>472</v>
      </c>
      <c r="C298" s="198" t="s">
        <v>473</v>
      </c>
      <c r="D298" s="332" t="s">
        <v>474</v>
      </c>
      <c r="E298" s="198" t="s">
        <v>209</v>
      </c>
      <c r="F298" s="295">
        <f>8.3+4.3+15+40+1.4</f>
        <v>69</v>
      </c>
      <c r="G298" s="249"/>
      <c r="H298" s="248"/>
    </row>
    <row r="299" spans="2:8">
      <c r="B299" s="199" t="s">
        <v>475</v>
      </c>
      <c r="C299" s="200"/>
      <c r="D299" s="336" t="s">
        <v>236</v>
      </c>
      <c r="E299" s="201"/>
      <c r="F299" s="294"/>
      <c r="G299" s="247"/>
      <c r="H299" s="248"/>
    </row>
    <row r="300" spans="2:8">
      <c r="B300" s="199" t="s">
        <v>476</v>
      </c>
      <c r="C300" s="200" t="s">
        <v>458</v>
      </c>
      <c r="D300" s="338" t="s">
        <v>477</v>
      </c>
      <c r="E300" s="200" t="s">
        <v>55</v>
      </c>
      <c r="F300" s="294">
        <f>0.4*20</f>
        <v>8</v>
      </c>
      <c r="G300" s="249"/>
      <c r="H300" s="248"/>
    </row>
    <row r="301" spans="2:8">
      <c r="B301" s="199" t="s">
        <v>478</v>
      </c>
      <c r="C301" s="200" t="s">
        <v>458</v>
      </c>
      <c r="D301" s="337" t="s">
        <v>479</v>
      </c>
      <c r="E301" s="200" t="s">
        <v>55</v>
      </c>
      <c r="F301" s="295">
        <v>60</v>
      </c>
      <c r="G301" s="249"/>
      <c r="H301" s="250"/>
    </row>
    <row r="302" spans="2:8" ht="25.5">
      <c r="B302" s="199" t="s">
        <v>480</v>
      </c>
      <c r="C302" s="200" t="s">
        <v>467</v>
      </c>
      <c r="D302" s="338" t="s">
        <v>468</v>
      </c>
      <c r="E302" s="200" t="s">
        <v>55</v>
      </c>
      <c r="F302" s="295">
        <f>+(11.5+1.7+1.5)*4</f>
        <v>58.8</v>
      </c>
      <c r="G302" s="249"/>
      <c r="H302" s="248"/>
    </row>
    <row r="303" spans="2:8">
      <c r="B303" s="199" t="s">
        <v>481</v>
      </c>
      <c r="C303" s="198" t="s">
        <v>473</v>
      </c>
      <c r="D303" s="332" t="s">
        <v>474</v>
      </c>
      <c r="E303" s="198" t="s">
        <v>209</v>
      </c>
      <c r="F303" s="295">
        <f>10.5+4.5+2.5+11.5+2.5+2</f>
        <v>33.5</v>
      </c>
      <c r="G303" s="249"/>
      <c r="H303" s="248"/>
    </row>
    <row r="304" spans="2:8">
      <c r="B304" s="199" t="s">
        <v>482</v>
      </c>
      <c r="C304" s="200"/>
      <c r="D304" s="336" t="s">
        <v>243</v>
      </c>
      <c r="E304" s="201"/>
      <c r="F304" s="294"/>
      <c r="G304" s="247"/>
      <c r="H304" s="248"/>
    </row>
    <row r="305" spans="2:8">
      <c r="B305" s="199" t="s">
        <v>483</v>
      </c>
      <c r="C305" s="198" t="s">
        <v>444</v>
      </c>
      <c r="D305" s="332" t="s">
        <v>463</v>
      </c>
      <c r="E305" s="198" t="s">
        <v>55</v>
      </c>
      <c r="F305" s="294">
        <v>714</v>
      </c>
      <c r="G305" s="249"/>
      <c r="H305" s="248"/>
    </row>
    <row r="306" spans="2:8">
      <c r="B306" s="199" t="s">
        <v>484</v>
      </c>
      <c r="C306" s="200" t="s">
        <v>458</v>
      </c>
      <c r="D306" s="337" t="s">
        <v>459</v>
      </c>
      <c r="E306" s="200" t="s">
        <v>55</v>
      </c>
      <c r="F306" s="295">
        <v>10</v>
      </c>
      <c r="G306" s="247"/>
      <c r="H306" s="248"/>
    </row>
    <row r="307" spans="2:8" ht="25.5">
      <c r="B307" s="199" t="s">
        <v>485</v>
      </c>
      <c r="C307" s="200" t="s">
        <v>467</v>
      </c>
      <c r="D307" s="338" t="s">
        <v>468</v>
      </c>
      <c r="E307" s="200" t="s">
        <v>55</v>
      </c>
      <c r="F307" s="295">
        <f>+(27+4.5+19+3.5+35)*3.8</f>
        <v>338.2</v>
      </c>
      <c r="G307" s="247"/>
      <c r="H307" s="248"/>
    </row>
    <row r="308" spans="2:8">
      <c r="B308" s="199" t="s">
        <v>486</v>
      </c>
      <c r="C308" s="198" t="s">
        <v>473</v>
      </c>
      <c r="D308" s="332" t="s">
        <v>474</v>
      </c>
      <c r="E308" s="198" t="s">
        <v>209</v>
      </c>
      <c r="F308" s="295">
        <f>27+1.5+4.5+10+4.5+6+36+1.5</f>
        <v>91</v>
      </c>
      <c r="G308" s="247"/>
      <c r="H308" s="248"/>
    </row>
    <row r="309" spans="2:8">
      <c r="B309" s="199" t="s">
        <v>487</v>
      </c>
      <c r="C309" s="198"/>
      <c r="D309" s="330" t="s">
        <v>249</v>
      </c>
      <c r="E309" s="195"/>
      <c r="F309" s="290"/>
      <c r="G309" s="229"/>
      <c r="H309" s="244"/>
    </row>
    <row r="310" spans="2:8">
      <c r="B310" s="199" t="s">
        <v>488</v>
      </c>
      <c r="C310" s="198" t="s">
        <v>444</v>
      </c>
      <c r="D310" s="332" t="s">
        <v>463</v>
      </c>
      <c r="E310" s="198" t="s">
        <v>55</v>
      </c>
      <c r="F310" s="290">
        <v>2220</v>
      </c>
      <c r="G310" s="229"/>
      <c r="H310" s="244"/>
    </row>
    <row r="311" spans="2:8" ht="38.25">
      <c r="B311" s="199" t="s">
        <v>489</v>
      </c>
      <c r="C311" s="198" t="s">
        <v>470</v>
      </c>
      <c r="D311" s="332" t="s">
        <v>490</v>
      </c>
      <c r="E311" s="198" t="s">
        <v>55</v>
      </c>
      <c r="F311" s="290">
        <v>2220</v>
      </c>
      <c r="G311" s="229"/>
      <c r="H311" s="244"/>
    </row>
    <row r="312" spans="2:8">
      <c r="B312" s="199" t="s">
        <v>491</v>
      </c>
      <c r="C312" s="198" t="s">
        <v>470</v>
      </c>
      <c r="D312" s="332" t="s">
        <v>492</v>
      </c>
      <c r="E312" s="198" t="s">
        <v>55</v>
      </c>
      <c r="F312" s="290">
        <v>20</v>
      </c>
      <c r="G312" s="229"/>
      <c r="H312" s="244"/>
    </row>
    <row r="313" spans="2:8" ht="15">
      <c r="B313" s="186" t="s">
        <v>493</v>
      </c>
      <c r="C313" s="312"/>
      <c r="D313" s="313" t="s">
        <v>224</v>
      </c>
      <c r="E313" s="314"/>
      <c r="F313" s="283"/>
      <c r="G313" s="233"/>
      <c r="H313" s="234"/>
    </row>
    <row r="314" spans="2:8">
      <c r="B314" s="183" t="s">
        <v>494</v>
      </c>
      <c r="C314" s="333"/>
      <c r="D314" s="334" t="s">
        <v>254</v>
      </c>
      <c r="E314" s="331"/>
      <c r="F314" s="291"/>
      <c r="G314" s="243"/>
      <c r="H314" s="242"/>
    </row>
    <row r="315" spans="2:8" ht="25.5">
      <c r="B315" s="183" t="s">
        <v>495</v>
      </c>
      <c r="C315" s="200" t="s">
        <v>467</v>
      </c>
      <c r="D315" s="338" t="s">
        <v>468</v>
      </c>
      <c r="E315" s="200" t="s">
        <v>55</v>
      </c>
      <c r="F315" s="291">
        <f>+(3+24.5+2.5+4.5+11+4.5+4.5+36+1.5)*4</f>
        <v>368</v>
      </c>
      <c r="G315" s="229"/>
      <c r="H315" s="242"/>
    </row>
    <row r="316" spans="2:8">
      <c r="B316" s="183" t="s">
        <v>496</v>
      </c>
      <c r="C316" s="198" t="s">
        <v>473</v>
      </c>
      <c r="D316" s="332" t="s">
        <v>474</v>
      </c>
      <c r="E316" s="198" t="s">
        <v>209</v>
      </c>
      <c r="F316" s="291">
        <f>+(3+24.5+2.5+4.5+11+4.5+4.5+36+1.5)</f>
        <v>92</v>
      </c>
      <c r="G316" s="229"/>
      <c r="H316" s="242"/>
    </row>
    <row r="317" spans="2:8">
      <c r="B317" s="183" t="s">
        <v>497</v>
      </c>
      <c r="C317" s="198" t="s">
        <v>458</v>
      </c>
      <c r="D317" s="337" t="s">
        <v>498</v>
      </c>
      <c r="E317" s="198" t="s">
        <v>55</v>
      </c>
      <c r="F317" s="281">
        <v>4</v>
      </c>
      <c r="G317" s="229"/>
      <c r="H317" s="235"/>
    </row>
    <row r="318" spans="2:8" ht="25.5">
      <c r="B318" s="183" t="s">
        <v>499</v>
      </c>
      <c r="C318" s="198" t="s">
        <v>447</v>
      </c>
      <c r="D318" s="332" t="s">
        <v>500</v>
      </c>
      <c r="E318" s="198" t="s">
        <v>452</v>
      </c>
      <c r="F318" s="281">
        <v>1</v>
      </c>
      <c r="G318" s="229"/>
      <c r="H318" s="242"/>
    </row>
    <row r="319" spans="2:8">
      <c r="B319" s="183" t="s">
        <v>501</v>
      </c>
      <c r="C319" s="333"/>
      <c r="D319" s="334" t="s">
        <v>264</v>
      </c>
      <c r="E319" s="331"/>
      <c r="F319" s="291"/>
      <c r="G319" s="243"/>
      <c r="H319" s="242"/>
    </row>
    <row r="320" spans="2:8" ht="25.5">
      <c r="B320" s="183" t="s">
        <v>502</v>
      </c>
      <c r="C320" s="200" t="s">
        <v>467</v>
      </c>
      <c r="D320" s="338" t="s">
        <v>468</v>
      </c>
      <c r="E320" s="200" t="s">
        <v>55</v>
      </c>
      <c r="F320" s="291">
        <f>+(3+24.5+2.5+4.5+11+4.5+4.5+36+1.5)*4</f>
        <v>368</v>
      </c>
      <c r="G320" s="229"/>
      <c r="H320" s="242"/>
    </row>
    <row r="321" spans="2:8">
      <c r="B321" s="183" t="s">
        <v>503</v>
      </c>
      <c r="C321" s="198" t="s">
        <v>473</v>
      </c>
      <c r="D321" s="332" t="s">
        <v>474</v>
      </c>
      <c r="E321" s="198" t="s">
        <v>209</v>
      </c>
      <c r="F321" s="291">
        <f>+(3+24.5+2.5+4.5+11+4.5+4.5+36+1.5)</f>
        <v>92</v>
      </c>
      <c r="G321" s="229"/>
      <c r="H321" s="235"/>
    </row>
    <row r="322" spans="2:8">
      <c r="B322" s="183" t="s">
        <v>504</v>
      </c>
      <c r="C322" s="198" t="s">
        <v>458</v>
      </c>
      <c r="D322" s="337" t="s">
        <v>505</v>
      </c>
      <c r="E322" s="198" t="s">
        <v>55</v>
      </c>
      <c r="F322" s="281">
        <v>4</v>
      </c>
      <c r="G322" s="229"/>
      <c r="H322" s="235"/>
    </row>
    <row r="323" spans="2:8">
      <c r="B323" s="183" t="s">
        <v>506</v>
      </c>
      <c r="C323" s="333"/>
      <c r="D323" s="334" t="s">
        <v>272</v>
      </c>
      <c r="E323" s="331"/>
      <c r="F323" s="291"/>
      <c r="G323" s="243"/>
      <c r="H323" s="242"/>
    </row>
    <row r="324" spans="2:8">
      <c r="B324" s="183" t="s">
        <v>507</v>
      </c>
      <c r="C324" s="198" t="s">
        <v>473</v>
      </c>
      <c r="D324" s="332" t="s">
        <v>474</v>
      </c>
      <c r="E324" s="198" t="s">
        <v>209</v>
      </c>
      <c r="F324" s="281">
        <f>36+2.5+4.5+11+4.5+4.5+36+2</f>
        <v>101</v>
      </c>
      <c r="G324" s="229"/>
      <c r="H324" s="235"/>
    </row>
    <row r="325" spans="2:8">
      <c r="B325" s="183" t="s">
        <v>508</v>
      </c>
      <c r="C325" s="198" t="s">
        <v>458</v>
      </c>
      <c r="D325" s="337" t="s">
        <v>465</v>
      </c>
      <c r="E325" s="198" t="s">
        <v>55</v>
      </c>
      <c r="F325" s="281">
        <v>4</v>
      </c>
      <c r="G325" s="229"/>
      <c r="H325" s="235"/>
    </row>
    <row r="326" spans="2:8" ht="25.5">
      <c r="B326" s="183" t="s">
        <v>509</v>
      </c>
      <c r="C326" s="200" t="s">
        <v>467</v>
      </c>
      <c r="D326" s="338" t="s">
        <v>468</v>
      </c>
      <c r="E326" s="200" t="s">
        <v>55</v>
      </c>
      <c r="F326" s="281">
        <f>(36+2.5+4.5+11+4.5+4.5+36+2)*4</f>
        <v>404</v>
      </c>
      <c r="G326" s="229"/>
      <c r="H326" s="235"/>
    </row>
    <row r="327" spans="2:8">
      <c r="B327" s="183" t="s">
        <v>510</v>
      </c>
      <c r="C327" s="333"/>
      <c r="D327" s="334" t="s">
        <v>279</v>
      </c>
      <c r="E327" s="331"/>
      <c r="F327" s="291"/>
      <c r="G327" s="243"/>
      <c r="H327" s="242"/>
    </row>
    <row r="328" spans="2:8">
      <c r="B328" s="183" t="s">
        <v>511</v>
      </c>
      <c r="C328" s="198" t="s">
        <v>473</v>
      </c>
      <c r="D328" s="332" t="s">
        <v>474</v>
      </c>
      <c r="E328" s="198" t="s">
        <v>209</v>
      </c>
      <c r="F328" s="281">
        <f>36+2.5+4.5+11+4.5+4.5+36+2</f>
        <v>101</v>
      </c>
      <c r="G328" s="229"/>
      <c r="H328" s="235"/>
    </row>
    <row r="329" spans="2:8">
      <c r="B329" s="183" t="s">
        <v>512</v>
      </c>
      <c r="C329" s="198" t="s">
        <v>458</v>
      </c>
      <c r="D329" s="337" t="s">
        <v>465</v>
      </c>
      <c r="E329" s="198" t="s">
        <v>55</v>
      </c>
      <c r="F329" s="281">
        <v>4</v>
      </c>
      <c r="G329" s="229"/>
      <c r="H329" s="235"/>
    </row>
    <row r="330" spans="2:8" ht="25.5">
      <c r="B330" s="183" t="s">
        <v>513</v>
      </c>
      <c r="C330" s="200" t="s">
        <v>467</v>
      </c>
      <c r="D330" s="338" t="s">
        <v>468</v>
      </c>
      <c r="E330" s="200" t="s">
        <v>55</v>
      </c>
      <c r="F330" s="281">
        <f>(36+2.5+4.5+11+4.5+4.5+36+2)*4</f>
        <v>404</v>
      </c>
      <c r="G330" s="229"/>
      <c r="H330" s="235"/>
    </row>
    <row r="331" spans="2:8">
      <c r="B331" s="183" t="s">
        <v>514</v>
      </c>
      <c r="C331" s="333"/>
      <c r="D331" s="334" t="s">
        <v>286</v>
      </c>
      <c r="E331" s="331"/>
      <c r="F331" s="291"/>
      <c r="G331" s="243"/>
      <c r="H331" s="242"/>
    </row>
    <row r="332" spans="2:8">
      <c r="B332" s="183" t="s">
        <v>515</v>
      </c>
      <c r="C332" s="198" t="s">
        <v>473</v>
      </c>
      <c r="D332" s="332" t="s">
        <v>474</v>
      </c>
      <c r="E332" s="198" t="s">
        <v>209</v>
      </c>
      <c r="F332" s="281">
        <f>36+2.5+4.5+11+4.5+4.5+36+2</f>
        <v>101</v>
      </c>
      <c r="G332" s="229"/>
      <c r="H332" s="235"/>
    </row>
    <row r="333" spans="2:8">
      <c r="B333" s="183" t="s">
        <v>516</v>
      </c>
      <c r="C333" s="198" t="s">
        <v>458</v>
      </c>
      <c r="D333" s="337" t="s">
        <v>465</v>
      </c>
      <c r="E333" s="198" t="s">
        <v>55</v>
      </c>
      <c r="F333" s="281">
        <v>4</v>
      </c>
      <c r="G333" s="229"/>
      <c r="H333" s="235"/>
    </row>
    <row r="334" spans="2:8" ht="25.5">
      <c r="B334" s="183" t="s">
        <v>517</v>
      </c>
      <c r="C334" s="200" t="s">
        <v>467</v>
      </c>
      <c r="D334" s="338" t="s">
        <v>468</v>
      </c>
      <c r="E334" s="200" t="s">
        <v>55</v>
      </c>
      <c r="F334" s="281">
        <f>(36+2.5+4.5+11+4.5+4.5+36+2)*4</f>
        <v>404</v>
      </c>
      <c r="G334" s="229"/>
      <c r="H334" s="235"/>
    </row>
    <row r="335" spans="2:8">
      <c r="B335" s="183" t="s">
        <v>518</v>
      </c>
      <c r="C335" s="333"/>
      <c r="D335" s="334" t="s">
        <v>293</v>
      </c>
      <c r="E335" s="331"/>
      <c r="F335" s="291"/>
      <c r="G335" s="243"/>
      <c r="H335" s="242"/>
    </row>
    <row r="336" spans="2:8">
      <c r="B336" s="183" t="s">
        <v>519</v>
      </c>
      <c r="C336" s="198" t="s">
        <v>473</v>
      </c>
      <c r="D336" s="332" t="s">
        <v>474</v>
      </c>
      <c r="E336" s="198" t="s">
        <v>209</v>
      </c>
      <c r="F336" s="281">
        <f>36+2.5+4.5+11+4.5+4.5+36+2</f>
        <v>101</v>
      </c>
      <c r="G336" s="229"/>
      <c r="H336" s="235"/>
    </row>
    <row r="337" spans="2:8">
      <c r="B337" s="183" t="s">
        <v>520</v>
      </c>
      <c r="C337" s="198" t="s">
        <v>458</v>
      </c>
      <c r="D337" s="339" t="s">
        <v>465</v>
      </c>
      <c r="E337" s="198" t="s">
        <v>55</v>
      </c>
      <c r="F337" s="281">
        <v>4</v>
      </c>
      <c r="G337" s="229"/>
      <c r="H337" s="235"/>
    </row>
    <row r="338" spans="2:8" ht="25.5">
      <c r="B338" s="183" t="s">
        <v>521</v>
      </c>
      <c r="C338" s="200" t="s">
        <v>467</v>
      </c>
      <c r="D338" s="338" t="s">
        <v>468</v>
      </c>
      <c r="E338" s="200" t="s">
        <v>55</v>
      </c>
      <c r="F338" s="281">
        <f>(36+2.5+4.5+11+4.5+4.5+36+2)*4</f>
        <v>404</v>
      </c>
      <c r="G338" s="229"/>
      <c r="H338" s="235"/>
    </row>
    <row r="339" spans="2:8">
      <c r="B339" s="183" t="s">
        <v>522</v>
      </c>
      <c r="C339" s="198"/>
      <c r="D339" s="334" t="s">
        <v>299</v>
      </c>
      <c r="E339" s="331"/>
      <c r="F339" s="291"/>
      <c r="G339" s="243"/>
      <c r="H339" s="242"/>
    </row>
    <row r="340" spans="2:8">
      <c r="B340" s="183" t="s">
        <v>523</v>
      </c>
      <c r="C340" s="198" t="s">
        <v>473</v>
      </c>
      <c r="D340" s="332" t="s">
        <v>474</v>
      </c>
      <c r="E340" s="198" t="s">
        <v>209</v>
      </c>
      <c r="F340" s="281">
        <f>36+2.5+4.5+11+4.5+4.5+36+2</f>
        <v>101</v>
      </c>
      <c r="G340" s="229"/>
      <c r="H340" s="242"/>
    </row>
    <row r="341" spans="2:8" ht="38.25">
      <c r="B341" s="183" t="s">
        <v>524</v>
      </c>
      <c r="C341" s="198" t="s">
        <v>470</v>
      </c>
      <c r="D341" s="332" t="s">
        <v>525</v>
      </c>
      <c r="E341" s="198" t="s">
        <v>55</v>
      </c>
      <c r="F341" s="281">
        <f>666-335</f>
        <v>331</v>
      </c>
      <c r="G341" s="229"/>
      <c r="H341" s="235"/>
    </row>
    <row r="342" spans="2:8" ht="51">
      <c r="B342" s="183" t="s">
        <v>526</v>
      </c>
      <c r="C342" s="198" t="s">
        <v>470</v>
      </c>
      <c r="D342" s="332" t="s">
        <v>527</v>
      </c>
      <c r="E342" s="198" t="s">
        <v>55</v>
      </c>
      <c r="F342" s="281">
        <f>124+20</f>
        <v>144</v>
      </c>
      <c r="G342" s="229"/>
      <c r="H342" s="235"/>
    </row>
    <row r="343" spans="2:8" ht="15">
      <c r="B343" s="186" t="s">
        <v>528</v>
      </c>
      <c r="C343" s="312"/>
      <c r="D343" s="313" t="s">
        <v>236</v>
      </c>
      <c r="E343" s="314"/>
      <c r="F343" s="283"/>
      <c r="G343" s="233"/>
      <c r="H343" s="234"/>
    </row>
    <row r="344" spans="2:8">
      <c r="B344" s="183" t="s">
        <v>529</v>
      </c>
      <c r="C344" s="333"/>
      <c r="D344" s="334" t="s">
        <v>254</v>
      </c>
      <c r="E344" s="331"/>
      <c r="F344" s="291"/>
      <c r="G344" s="243"/>
      <c r="H344" s="242"/>
    </row>
    <row r="345" spans="2:8">
      <c r="B345" s="183" t="s">
        <v>530</v>
      </c>
      <c r="C345" s="198" t="s">
        <v>473</v>
      </c>
      <c r="D345" s="332" t="s">
        <v>474</v>
      </c>
      <c r="E345" s="198" t="s">
        <v>209</v>
      </c>
      <c r="F345" s="290">
        <v>41</v>
      </c>
      <c r="G345" s="229"/>
      <c r="H345" s="242"/>
    </row>
    <row r="346" spans="2:8" ht="25.5">
      <c r="B346" s="183" t="s">
        <v>531</v>
      </c>
      <c r="C346" s="200" t="s">
        <v>467</v>
      </c>
      <c r="D346" s="338" t="s">
        <v>468</v>
      </c>
      <c r="E346" s="200" t="s">
        <v>55</v>
      </c>
      <c r="F346" s="290">
        <f>(2+1.5+7+12+1.5+2)*4</f>
        <v>104</v>
      </c>
      <c r="G346" s="229"/>
      <c r="H346" s="235"/>
    </row>
    <row r="347" spans="2:8">
      <c r="B347" s="183" t="s">
        <v>532</v>
      </c>
      <c r="C347" s="198" t="s">
        <v>458</v>
      </c>
      <c r="D347" s="337" t="s">
        <v>498</v>
      </c>
      <c r="E347" s="198" t="s">
        <v>55</v>
      </c>
      <c r="F347" s="281">
        <v>88</v>
      </c>
      <c r="G347" s="229"/>
      <c r="H347" s="235"/>
    </row>
    <row r="348" spans="2:8">
      <c r="B348" s="183" t="s">
        <v>533</v>
      </c>
      <c r="C348" s="333"/>
      <c r="D348" s="334" t="s">
        <v>264</v>
      </c>
      <c r="E348" s="331"/>
      <c r="F348" s="291"/>
      <c r="G348" s="243"/>
      <c r="H348" s="242"/>
    </row>
    <row r="349" spans="2:8">
      <c r="B349" s="183" t="s">
        <v>534</v>
      </c>
      <c r="C349" s="198" t="s">
        <v>473</v>
      </c>
      <c r="D349" s="332" t="s">
        <v>474</v>
      </c>
      <c r="E349" s="198" t="s">
        <v>209</v>
      </c>
      <c r="F349" s="290">
        <v>41</v>
      </c>
      <c r="G349" s="229"/>
      <c r="H349" s="235"/>
    </row>
    <row r="350" spans="2:8" ht="25.5">
      <c r="B350" s="183" t="s">
        <v>535</v>
      </c>
      <c r="C350" s="200" t="s">
        <v>467</v>
      </c>
      <c r="D350" s="338" t="s">
        <v>468</v>
      </c>
      <c r="E350" s="200" t="s">
        <v>55</v>
      </c>
      <c r="F350" s="290">
        <f>(2+1.5+7+12+1.5+2)*4</f>
        <v>104</v>
      </c>
      <c r="G350" s="229"/>
      <c r="H350" s="235"/>
    </row>
    <row r="351" spans="2:8">
      <c r="B351" s="183" t="s">
        <v>536</v>
      </c>
      <c r="C351" s="198" t="s">
        <v>458</v>
      </c>
      <c r="D351" s="337" t="s">
        <v>498</v>
      </c>
      <c r="E351" s="198" t="s">
        <v>55</v>
      </c>
      <c r="F351" s="281">
        <v>88</v>
      </c>
      <c r="G351" s="229"/>
      <c r="H351" s="235"/>
    </row>
    <row r="352" spans="2:8">
      <c r="B352" s="183" t="s">
        <v>537</v>
      </c>
      <c r="C352" s="333"/>
      <c r="D352" s="334" t="s">
        <v>272</v>
      </c>
      <c r="E352" s="331"/>
      <c r="F352" s="291"/>
      <c r="G352" s="243"/>
      <c r="H352" s="242"/>
    </row>
    <row r="353" spans="2:8">
      <c r="B353" s="183" t="s">
        <v>538</v>
      </c>
      <c r="C353" s="198" t="s">
        <v>473</v>
      </c>
      <c r="D353" s="332" t="s">
        <v>474</v>
      </c>
      <c r="E353" s="198" t="s">
        <v>209</v>
      </c>
      <c r="F353" s="290">
        <v>41</v>
      </c>
      <c r="G353" s="229"/>
      <c r="H353" s="235"/>
    </row>
    <row r="354" spans="2:8" ht="25.5">
      <c r="B354" s="183" t="s">
        <v>539</v>
      </c>
      <c r="C354" s="200" t="s">
        <v>467</v>
      </c>
      <c r="D354" s="338" t="s">
        <v>468</v>
      </c>
      <c r="E354" s="200" t="s">
        <v>55</v>
      </c>
      <c r="F354" s="290">
        <f>(2+1.5+7+12+1.5+2)*4</f>
        <v>104</v>
      </c>
      <c r="G354" s="229"/>
      <c r="H354" s="235"/>
    </row>
    <row r="355" spans="2:8">
      <c r="B355" s="183" t="s">
        <v>540</v>
      </c>
      <c r="C355" s="198" t="s">
        <v>458</v>
      </c>
      <c r="D355" s="337" t="s">
        <v>498</v>
      </c>
      <c r="E355" s="198" t="s">
        <v>55</v>
      </c>
      <c r="F355" s="281">
        <v>88</v>
      </c>
      <c r="G355" s="229"/>
      <c r="H355" s="235"/>
    </row>
    <row r="356" spans="2:8">
      <c r="B356" s="183" t="s">
        <v>541</v>
      </c>
      <c r="C356" s="333"/>
      <c r="D356" s="334" t="s">
        <v>279</v>
      </c>
      <c r="E356" s="331"/>
      <c r="F356" s="291"/>
      <c r="G356" s="243"/>
      <c r="H356" s="242"/>
    </row>
    <row r="357" spans="2:8">
      <c r="B357" s="183" t="s">
        <v>542</v>
      </c>
      <c r="C357" s="198" t="s">
        <v>473</v>
      </c>
      <c r="D357" s="332" t="s">
        <v>474</v>
      </c>
      <c r="E357" s="198" t="s">
        <v>209</v>
      </c>
      <c r="F357" s="290">
        <v>41</v>
      </c>
      <c r="G357" s="229"/>
      <c r="H357" s="235"/>
    </row>
    <row r="358" spans="2:8" ht="25.5">
      <c r="B358" s="183" t="s">
        <v>543</v>
      </c>
      <c r="C358" s="200" t="s">
        <v>467</v>
      </c>
      <c r="D358" s="338" t="s">
        <v>468</v>
      </c>
      <c r="E358" s="200" t="s">
        <v>55</v>
      </c>
      <c r="F358" s="290">
        <f>(2+1.5+7+12+1.5+2)*4</f>
        <v>104</v>
      </c>
      <c r="G358" s="229"/>
      <c r="H358" s="235"/>
    </row>
    <row r="359" spans="2:8">
      <c r="B359" s="183" t="s">
        <v>544</v>
      </c>
      <c r="C359" s="198" t="s">
        <v>458</v>
      </c>
      <c r="D359" s="337" t="s">
        <v>498</v>
      </c>
      <c r="E359" s="198" t="s">
        <v>55</v>
      </c>
      <c r="F359" s="281">
        <v>88</v>
      </c>
      <c r="G359" s="229"/>
      <c r="H359" s="235"/>
    </row>
    <row r="360" spans="2:8">
      <c r="B360" s="183" t="s">
        <v>545</v>
      </c>
      <c r="C360" s="333"/>
      <c r="D360" s="334" t="s">
        <v>286</v>
      </c>
      <c r="E360" s="331"/>
      <c r="F360" s="291"/>
      <c r="G360" s="243"/>
      <c r="H360" s="242"/>
    </row>
    <row r="361" spans="2:8">
      <c r="B361" s="183" t="s">
        <v>546</v>
      </c>
      <c r="C361" s="198" t="s">
        <v>473</v>
      </c>
      <c r="D361" s="332" t="s">
        <v>474</v>
      </c>
      <c r="E361" s="198" t="s">
        <v>209</v>
      </c>
      <c r="F361" s="290">
        <f>41+19</f>
        <v>60</v>
      </c>
      <c r="G361" s="229"/>
      <c r="H361" s="235"/>
    </row>
    <row r="362" spans="2:8" ht="25.5">
      <c r="B362" s="183" t="s">
        <v>547</v>
      </c>
      <c r="C362" s="200" t="s">
        <v>467</v>
      </c>
      <c r="D362" s="338" t="s">
        <v>468</v>
      </c>
      <c r="E362" s="200" t="s">
        <v>55</v>
      </c>
      <c r="F362" s="290">
        <f>(2+1.5+7+12+1.5+2)*4</f>
        <v>104</v>
      </c>
      <c r="G362" s="229"/>
      <c r="H362" s="235"/>
    </row>
    <row r="363" spans="2:8">
      <c r="B363" s="183" t="s">
        <v>548</v>
      </c>
      <c r="C363" s="198" t="s">
        <v>458</v>
      </c>
      <c r="D363" s="337" t="s">
        <v>498</v>
      </c>
      <c r="E363" s="198" t="s">
        <v>55</v>
      </c>
      <c r="F363" s="281">
        <v>88</v>
      </c>
      <c r="G363" s="229"/>
      <c r="H363" s="235"/>
    </row>
    <row r="364" spans="2:8">
      <c r="B364" s="183" t="s">
        <v>549</v>
      </c>
      <c r="C364" s="333"/>
      <c r="D364" s="334" t="s">
        <v>293</v>
      </c>
      <c r="E364" s="331"/>
      <c r="F364" s="291"/>
      <c r="G364" s="243"/>
      <c r="H364" s="242"/>
    </row>
    <row r="365" spans="2:8">
      <c r="B365" s="183" t="s">
        <v>550</v>
      </c>
      <c r="C365" s="198" t="s">
        <v>473</v>
      </c>
      <c r="D365" s="332" t="s">
        <v>474</v>
      </c>
      <c r="E365" s="198" t="s">
        <v>209</v>
      </c>
      <c r="F365" s="290">
        <v>60</v>
      </c>
      <c r="G365" s="229"/>
      <c r="H365" s="235"/>
    </row>
    <row r="366" spans="2:8" ht="25.5">
      <c r="B366" s="183" t="s">
        <v>551</v>
      </c>
      <c r="C366" s="200" t="s">
        <v>467</v>
      </c>
      <c r="D366" s="338" t="s">
        <v>468</v>
      </c>
      <c r="E366" s="200" t="s">
        <v>55</v>
      </c>
      <c r="F366" s="290">
        <f>(2+1.5+7+12+1.5+2)*4</f>
        <v>104</v>
      </c>
      <c r="G366" s="229"/>
      <c r="H366" s="235"/>
    </row>
    <row r="367" spans="2:8">
      <c r="B367" s="183" t="s">
        <v>552</v>
      </c>
      <c r="C367" s="198" t="s">
        <v>458</v>
      </c>
      <c r="D367" s="337" t="s">
        <v>498</v>
      </c>
      <c r="E367" s="198" t="s">
        <v>55</v>
      </c>
      <c r="F367" s="281">
        <v>88</v>
      </c>
      <c r="G367" s="229"/>
      <c r="H367" s="235"/>
    </row>
    <row r="368" spans="2:8">
      <c r="B368" s="183" t="s">
        <v>553</v>
      </c>
      <c r="C368" s="198"/>
      <c r="D368" s="334" t="s">
        <v>299</v>
      </c>
      <c r="E368" s="331"/>
      <c r="F368" s="291"/>
      <c r="G368" s="243"/>
      <c r="H368" s="242"/>
    </row>
    <row r="369" spans="2:8">
      <c r="B369" s="183" t="s">
        <v>554</v>
      </c>
      <c r="C369" s="198" t="s">
        <v>473</v>
      </c>
      <c r="D369" s="332" t="s">
        <v>474</v>
      </c>
      <c r="E369" s="198" t="s">
        <v>209</v>
      </c>
      <c r="F369" s="290">
        <f>60+19</f>
        <v>79</v>
      </c>
      <c r="G369" s="229"/>
      <c r="H369" s="242"/>
    </row>
    <row r="370" spans="2:8" ht="25.5">
      <c r="B370" s="183" t="s">
        <v>555</v>
      </c>
      <c r="C370" s="200" t="s">
        <v>467</v>
      </c>
      <c r="D370" s="338" t="s">
        <v>468</v>
      </c>
      <c r="E370" s="200" t="s">
        <v>55</v>
      </c>
      <c r="F370" s="290">
        <f>(2+1.5+7+12+1.5+2)*4</f>
        <v>104</v>
      </c>
      <c r="G370" s="229"/>
      <c r="H370" s="242"/>
    </row>
    <row r="371" spans="2:8" ht="51">
      <c r="B371" s="183" t="s">
        <v>556</v>
      </c>
      <c r="C371" s="198" t="s">
        <v>470</v>
      </c>
      <c r="D371" s="332" t="s">
        <v>557</v>
      </c>
      <c r="E371" s="198" t="s">
        <v>55</v>
      </c>
      <c r="F371" s="281">
        <f>18.5*18.5+76</f>
        <v>418.25</v>
      </c>
      <c r="G371" s="229"/>
      <c r="H371" s="235"/>
    </row>
    <row r="372" spans="2:8">
      <c r="B372" s="183" t="s">
        <v>558</v>
      </c>
      <c r="C372" s="198" t="s">
        <v>450</v>
      </c>
      <c r="D372" s="332" t="s">
        <v>559</v>
      </c>
      <c r="E372" s="198" t="s">
        <v>309</v>
      </c>
      <c r="F372" s="281">
        <v>1</v>
      </c>
      <c r="G372" s="229"/>
      <c r="H372" s="235"/>
    </row>
    <row r="373" spans="2:8">
      <c r="B373" s="183" t="s">
        <v>560</v>
      </c>
      <c r="C373" s="198" t="s">
        <v>450</v>
      </c>
      <c r="D373" s="332" t="s">
        <v>561</v>
      </c>
      <c r="E373" s="198" t="s">
        <v>309</v>
      </c>
      <c r="F373" s="281">
        <v>1</v>
      </c>
      <c r="G373" s="229"/>
      <c r="H373" s="235"/>
    </row>
    <row r="374" spans="2:8" ht="25.5">
      <c r="B374" s="183" t="s">
        <v>562</v>
      </c>
      <c r="C374" s="198" t="s">
        <v>450</v>
      </c>
      <c r="D374" s="332" t="s">
        <v>563</v>
      </c>
      <c r="E374" s="198" t="s">
        <v>309</v>
      </c>
      <c r="F374" s="281">
        <v>1</v>
      </c>
      <c r="G374" s="229"/>
      <c r="H374" s="235"/>
    </row>
    <row r="375" spans="2:8">
      <c r="B375" s="183" t="s">
        <v>564</v>
      </c>
      <c r="C375" s="198" t="s">
        <v>450</v>
      </c>
      <c r="D375" s="332" t="s">
        <v>565</v>
      </c>
      <c r="E375" s="198" t="s">
        <v>309</v>
      </c>
      <c r="F375" s="281">
        <v>1</v>
      </c>
      <c r="G375" s="229"/>
      <c r="H375" s="235"/>
    </row>
    <row r="376" spans="2:8" ht="15">
      <c r="B376" s="186" t="s">
        <v>566</v>
      </c>
      <c r="C376" s="312"/>
      <c r="D376" s="313" t="s">
        <v>243</v>
      </c>
      <c r="E376" s="314"/>
      <c r="F376" s="283"/>
      <c r="G376" s="233"/>
      <c r="H376" s="234"/>
    </row>
    <row r="377" spans="2:8">
      <c r="B377" s="183" t="s">
        <v>567</v>
      </c>
      <c r="C377" s="333"/>
      <c r="D377" s="334" t="s">
        <v>254</v>
      </c>
      <c r="E377" s="331"/>
      <c r="F377" s="291"/>
      <c r="G377" s="243"/>
      <c r="H377" s="242"/>
    </row>
    <row r="378" spans="2:8">
      <c r="B378" s="183" t="s">
        <v>568</v>
      </c>
      <c r="C378" s="198" t="s">
        <v>473</v>
      </c>
      <c r="D378" s="332" t="s">
        <v>474</v>
      </c>
      <c r="E378" s="198" t="s">
        <v>209</v>
      </c>
      <c r="F378" s="291">
        <f>27.5+1.5+4.5+10+4.5+6+36+1.5</f>
        <v>91.5</v>
      </c>
      <c r="G378" s="229"/>
      <c r="H378" s="242"/>
    </row>
    <row r="379" spans="2:8" ht="25.5">
      <c r="B379" s="183" t="s">
        <v>569</v>
      </c>
      <c r="C379" s="200" t="s">
        <v>467</v>
      </c>
      <c r="D379" s="338" t="s">
        <v>468</v>
      </c>
      <c r="E379" s="200" t="s">
        <v>55</v>
      </c>
      <c r="F379" s="291">
        <f>(27.5+1.5+4.5+10+4.5+6+36+1.5)*4</f>
        <v>366</v>
      </c>
      <c r="G379" s="229"/>
      <c r="H379" s="235"/>
    </row>
    <row r="380" spans="2:8">
      <c r="B380" s="183" t="s">
        <v>570</v>
      </c>
      <c r="C380" s="333"/>
      <c r="D380" s="334" t="s">
        <v>264</v>
      </c>
      <c r="E380" s="331"/>
      <c r="F380" s="291"/>
      <c r="G380" s="243"/>
      <c r="H380" s="242"/>
    </row>
    <row r="381" spans="2:8">
      <c r="B381" s="183" t="s">
        <v>571</v>
      </c>
      <c r="C381" s="198" t="s">
        <v>473</v>
      </c>
      <c r="D381" s="332" t="s">
        <v>474</v>
      </c>
      <c r="E381" s="198" t="s">
        <v>209</v>
      </c>
      <c r="F381" s="291">
        <f>27.5+1.5+4.5+10+4.5+6+36+1.5</f>
        <v>91.5</v>
      </c>
      <c r="G381" s="229"/>
      <c r="H381" s="235"/>
    </row>
    <row r="382" spans="2:8" ht="25.5">
      <c r="B382" s="183" t="s">
        <v>572</v>
      </c>
      <c r="C382" s="200" t="s">
        <v>467</v>
      </c>
      <c r="D382" s="338" t="s">
        <v>468</v>
      </c>
      <c r="E382" s="200" t="s">
        <v>55</v>
      </c>
      <c r="F382" s="291">
        <f>(27.5+1.5+4.5+10+4.5+6+36+1.5)*4</f>
        <v>366</v>
      </c>
      <c r="G382" s="229"/>
      <c r="H382" s="235"/>
    </row>
    <row r="383" spans="2:8">
      <c r="B383" s="183" t="s">
        <v>573</v>
      </c>
      <c r="C383" s="333"/>
      <c r="D383" s="334" t="s">
        <v>272</v>
      </c>
      <c r="E383" s="331"/>
      <c r="F383" s="291"/>
      <c r="G383" s="243"/>
      <c r="H383" s="242"/>
    </row>
    <row r="384" spans="2:8">
      <c r="B384" s="183" t="s">
        <v>574</v>
      </c>
      <c r="C384" s="198" t="s">
        <v>473</v>
      </c>
      <c r="D384" s="332" t="s">
        <v>474</v>
      </c>
      <c r="E384" s="198" t="s">
        <v>209</v>
      </c>
      <c r="F384" s="291">
        <f>27.5+1.5+4.5+10+4.5+6+36+1.5</f>
        <v>91.5</v>
      </c>
      <c r="G384" s="229"/>
      <c r="H384" s="235"/>
    </row>
    <row r="385" spans="2:8" ht="25.5">
      <c r="B385" s="183" t="s">
        <v>575</v>
      </c>
      <c r="C385" s="200" t="s">
        <v>467</v>
      </c>
      <c r="D385" s="338" t="s">
        <v>468</v>
      </c>
      <c r="E385" s="200" t="s">
        <v>55</v>
      </c>
      <c r="F385" s="291">
        <f>(27.5+1.5+4.5+10+4.5+6+36+1.5)*4</f>
        <v>366</v>
      </c>
      <c r="G385" s="229"/>
      <c r="H385" s="235"/>
    </row>
    <row r="386" spans="2:8">
      <c r="B386" s="183" t="s">
        <v>573</v>
      </c>
      <c r="C386" s="333"/>
      <c r="D386" s="334" t="s">
        <v>279</v>
      </c>
      <c r="E386" s="331"/>
      <c r="F386" s="291"/>
      <c r="G386" s="243"/>
      <c r="H386" s="242"/>
    </row>
    <row r="387" spans="2:8">
      <c r="B387" s="183" t="s">
        <v>574</v>
      </c>
      <c r="C387" s="198" t="s">
        <v>473</v>
      </c>
      <c r="D387" s="332" t="s">
        <v>474</v>
      </c>
      <c r="E387" s="198" t="s">
        <v>209</v>
      </c>
      <c r="F387" s="291">
        <f>27.5+1.5+4.5+10+4.5+6+36+1.5</f>
        <v>91.5</v>
      </c>
      <c r="G387" s="229"/>
      <c r="H387" s="235"/>
    </row>
    <row r="388" spans="2:8" ht="25.5">
      <c r="B388" s="183" t="s">
        <v>575</v>
      </c>
      <c r="C388" s="200" t="s">
        <v>467</v>
      </c>
      <c r="D388" s="338" t="s">
        <v>468</v>
      </c>
      <c r="E388" s="200" t="s">
        <v>55</v>
      </c>
      <c r="F388" s="291">
        <f>(27.5+1.5+4.5+10+4.5+6+36+1.5)*4</f>
        <v>366</v>
      </c>
      <c r="G388" s="229"/>
      <c r="H388" s="235"/>
    </row>
    <row r="389" spans="2:8">
      <c r="B389" s="183" t="s">
        <v>576</v>
      </c>
      <c r="C389" s="198"/>
      <c r="D389" s="334" t="s">
        <v>380</v>
      </c>
      <c r="E389" s="331"/>
      <c r="F389" s="291"/>
      <c r="G389" s="243"/>
      <c r="H389" s="242"/>
    </row>
    <row r="390" spans="2:8" ht="51">
      <c r="B390" s="183" t="s">
        <v>577</v>
      </c>
      <c r="C390" s="198" t="s">
        <v>470</v>
      </c>
      <c r="D390" s="332" t="s">
        <v>578</v>
      </c>
      <c r="E390" s="198" t="s">
        <v>55</v>
      </c>
      <c r="F390" s="281">
        <v>273</v>
      </c>
      <c r="G390" s="229"/>
      <c r="H390" s="235"/>
    </row>
    <row r="391" spans="2:8" ht="15">
      <c r="B391" s="186" t="s">
        <v>579</v>
      </c>
      <c r="C391" s="312"/>
      <c r="D391" s="313" t="s">
        <v>112</v>
      </c>
      <c r="E391" s="314"/>
      <c r="F391" s="283"/>
      <c r="G391" s="233"/>
      <c r="H391" s="234"/>
    </row>
    <row r="392" spans="2:8">
      <c r="B392" s="193" t="s">
        <v>580</v>
      </c>
      <c r="C392" s="333"/>
      <c r="D392" s="334" t="s">
        <v>581</v>
      </c>
      <c r="E392" s="331"/>
      <c r="F392" s="291"/>
      <c r="G392" s="243"/>
      <c r="H392" s="244"/>
    </row>
    <row r="393" spans="2:8" ht="51">
      <c r="B393" s="193" t="s">
        <v>582</v>
      </c>
      <c r="C393" s="198" t="s">
        <v>444</v>
      </c>
      <c r="D393" s="332" t="s">
        <v>583</v>
      </c>
      <c r="E393" s="198" t="s">
        <v>55</v>
      </c>
      <c r="F393" s="281">
        <v>998</v>
      </c>
      <c r="G393" s="229"/>
      <c r="H393" s="251"/>
    </row>
    <row r="394" spans="2:8">
      <c r="B394" s="193" t="s">
        <v>584</v>
      </c>
      <c r="C394" s="198" t="s">
        <v>447</v>
      </c>
      <c r="D394" s="332" t="s">
        <v>448</v>
      </c>
      <c r="E394" s="198" t="s">
        <v>55</v>
      </c>
      <c r="F394" s="281">
        <f>15.5*4+19*2+(4.1+1.8+1.1+16+8)*8.5+(8.5+5.4)*0.5*13+(23+11)*5.4+3.2*3.5+(3.5+5.5)*2+(5.5*7.5)*3.7</f>
        <v>819.27500000000009</v>
      </c>
      <c r="G394" s="229"/>
      <c r="H394" s="251"/>
    </row>
    <row r="395" spans="2:8">
      <c r="B395" s="193" t="s">
        <v>585</v>
      </c>
      <c r="C395" s="198" t="s">
        <v>450</v>
      </c>
      <c r="D395" s="332" t="s">
        <v>454</v>
      </c>
      <c r="E395" s="198" t="s">
        <v>452</v>
      </c>
      <c r="F395" s="281">
        <v>1</v>
      </c>
      <c r="G395" s="229"/>
      <c r="H395" s="251"/>
    </row>
    <row r="396" spans="2:8" ht="25.5">
      <c r="B396" s="193" t="s">
        <v>586</v>
      </c>
      <c r="C396" s="198" t="s">
        <v>450</v>
      </c>
      <c r="D396" s="332" t="s">
        <v>456</v>
      </c>
      <c r="E396" s="198" t="s">
        <v>452</v>
      </c>
      <c r="F396" s="281">
        <v>1</v>
      </c>
      <c r="G396" s="229"/>
      <c r="H396" s="251"/>
    </row>
    <row r="397" spans="2:8" ht="25.5">
      <c r="B397" s="193" t="s">
        <v>587</v>
      </c>
      <c r="C397" s="198" t="s">
        <v>447</v>
      </c>
      <c r="D397" s="332" t="s">
        <v>500</v>
      </c>
      <c r="E397" s="198" t="s">
        <v>452</v>
      </c>
      <c r="F397" s="281">
        <v>1</v>
      </c>
      <c r="G397" s="229"/>
      <c r="H397" s="251"/>
    </row>
    <row r="398" spans="2:8">
      <c r="B398" s="193" t="s">
        <v>588</v>
      </c>
      <c r="C398" s="198" t="s">
        <v>458</v>
      </c>
      <c r="D398" s="332" t="s">
        <v>459</v>
      </c>
      <c r="E398" s="198" t="s">
        <v>55</v>
      </c>
      <c r="F398" s="281">
        <f>2.6*3+3.8*13</f>
        <v>57.2</v>
      </c>
      <c r="G398" s="229"/>
      <c r="H398" s="251"/>
    </row>
    <row r="399" spans="2:8">
      <c r="B399" s="193" t="s">
        <v>589</v>
      </c>
      <c r="C399" s="333"/>
      <c r="D399" s="334" t="s">
        <v>398</v>
      </c>
      <c r="E399" s="331"/>
      <c r="F399" s="287"/>
      <c r="G399" s="243"/>
      <c r="H399" s="242"/>
    </row>
    <row r="400" spans="2:8">
      <c r="B400" s="193" t="s">
        <v>590</v>
      </c>
      <c r="C400" s="198" t="s">
        <v>458</v>
      </c>
      <c r="D400" s="337" t="s">
        <v>498</v>
      </c>
      <c r="E400" s="198" t="s">
        <v>55</v>
      </c>
      <c r="F400" s="281"/>
      <c r="G400" s="229"/>
      <c r="H400" s="251"/>
    </row>
    <row r="401" spans="2:8" ht="25.5">
      <c r="B401" s="193" t="s">
        <v>591</v>
      </c>
      <c r="C401" s="200" t="s">
        <v>467</v>
      </c>
      <c r="D401" s="338" t="s">
        <v>468</v>
      </c>
      <c r="E401" s="200" t="s">
        <v>55</v>
      </c>
      <c r="F401" s="281">
        <f>30*3.5</f>
        <v>105</v>
      </c>
      <c r="G401" s="229"/>
      <c r="H401" s="251"/>
    </row>
    <row r="402" spans="2:8" ht="38.25">
      <c r="B402" s="193" t="s">
        <v>592</v>
      </c>
      <c r="C402" s="198" t="s">
        <v>470</v>
      </c>
      <c r="D402" s="332" t="s">
        <v>593</v>
      </c>
      <c r="E402" s="198" t="s">
        <v>55</v>
      </c>
      <c r="F402" s="281">
        <f>615-160</f>
        <v>455</v>
      </c>
      <c r="G402" s="229"/>
      <c r="H402" s="251"/>
    </row>
    <row r="403" spans="2:8" ht="38.25">
      <c r="B403" s="193" t="s">
        <v>594</v>
      </c>
      <c r="C403" s="198" t="s">
        <v>470</v>
      </c>
      <c r="D403" s="332" t="s">
        <v>595</v>
      </c>
      <c r="E403" s="198" t="s">
        <v>55</v>
      </c>
      <c r="F403" s="281">
        <f>480-160+95</f>
        <v>415</v>
      </c>
      <c r="G403" s="229"/>
      <c r="H403" s="251"/>
    </row>
    <row r="404" spans="2:8" ht="14.25">
      <c r="B404" s="186" t="s">
        <v>596</v>
      </c>
      <c r="C404" s="323"/>
      <c r="D404" s="324" t="s">
        <v>407</v>
      </c>
      <c r="E404" s="325"/>
      <c r="F404" s="286"/>
      <c r="G404" s="238"/>
      <c r="H404" s="239"/>
    </row>
    <row r="405" spans="2:8">
      <c r="B405" s="193" t="s">
        <v>597</v>
      </c>
      <c r="C405" s="198"/>
      <c r="D405" s="332" t="s">
        <v>409</v>
      </c>
      <c r="E405" s="198"/>
      <c r="F405" s="296"/>
      <c r="G405" s="229"/>
      <c r="H405" s="251"/>
    </row>
    <row r="406" spans="2:8" ht="38.25">
      <c r="B406" s="193" t="s">
        <v>598</v>
      </c>
      <c r="C406" s="198" t="s">
        <v>444</v>
      </c>
      <c r="D406" s="332" t="s">
        <v>599</v>
      </c>
      <c r="E406" s="198" t="s">
        <v>55</v>
      </c>
      <c r="F406" s="296">
        <v>240</v>
      </c>
      <c r="G406" s="229"/>
      <c r="H406" s="251"/>
    </row>
    <row r="407" spans="2:8">
      <c r="B407" s="193" t="s">
        <v>600</v>
      </c>
      <c r="C407" s="198" t="s">
        <v>458</v>
      </c>
      <c r="D407" s="337" t="s">
        <v>498</v>
      </c>
      <c r="E407" s="198" t="s">
        <v>55</v>
      </c>
      <c r="F407" s="296">
        <f>6.5+4</f>
        <v>10.5</v>
      </c>
      <c r="G407" s="229"/>
      <c r="H407" s="251"/>
    </row>
    <row r="408" spans="2:8">
      <c r="B408" s="193" t="s">
        <v>601</v>
      </c>
      <c r="C408" s="198" t="s">
        <v>444</v>
      </c>
      <c r="D408" s="332" t="s">
        <v>602</v>
      </c>
      <c r="E408" s="198" t="s">
        <v>55</v>
      </c>
      <c r="F408" s="281">
        <v>250</v>
      </c>
      <c r="G408" s="229"/>
      <c r="H408" s="251"/>
    </row>
    <row r="409" spans="2:8" ht="25.5">
      <c r="B409" s="193" t="s">
        <v>603</v>
      </c>
      <c r="C409" s="200" t="s">
        <v>467</v>
      </c>
      <c r="D409" s="338" t="s">
        <v>468</v>
      </c>
      <c r="E409" s="200" t="s">
        <v>55</v>
      </c>
      <c r="F409" s="281">
        <f>12.5*5+8.5*4.5*2+7*4+4*4+12.5*4</f>
        <v>233</v>
      </c>
      <c r="G409" s="229"/>
      <c r="H409" s="251"/>
    </row>
    <row r="410" spans="2:8" ht="25.5">
      <c r="B410" s="193" t="s">
        <v>604</v>
      </c>
      <c r="C410" s="198" t="s">
        <v>470</v>
      </c>
      <c r="D410" s="332" t="s">
        <v>605</v>
      </c>
      <c r="E410" s="198" t="s">
        <v>55</v>
      </c>
      <c r="F410" s="281">
        <v>87</v>
      </c>
      <c r="G410" s="231"/>
      <c r="H410" s="251"/>
    </row>
    <row r="411" spans="2:8">
      <c r="B411" s="193" t="s">
        <v>606</v>
      </c>
      <c r="C411" s="198"/>
      <c r="D411" s="337" t="s">
        <v>607</v>
      </c>
      <c r="E411" s="198"/>
      <c r="F411" s="296"/>
      <c r="G411" s="229"/>
      <c r="H411" s="251"/>
    </row>
    <row r="412" spans="2:8">
      <c r="B412" s="193" t="s">
        <v>608</v>
      </c>
      <c r="C412" s="198" t="s">
        <v>444</v>
      </c>
      <c r="D412" s="332" t="s">
        <v>609</v>
      </c>
      <c r="E412" s="198" t="s">
        <v>55</v>
      </c>
      <c r="F412" s="296">
        <v>84</v>
      </c>
      <c r="G412" s="229"/>
      <c r="H412" s="251"/>
    </row>
    <row r="413" spans="2:8">
      <c r="B413" s="193" t="s">
        <v>610</v>
      </c>
      <c r="C413" s="198" t="s">
        <v>458</v>
      </c>
      <c r="D413" s="337" t="s">
        <v>498</v>
      </c>
      <c r="E413" s="198" t="s">
        <v>55</v>
      </c>
      <c r="F413" s="296">
        <v>32</v>
      </c>
      <c r="G413" s="229"/>
      <c r="H413" s="251"/>
    </row>
    <row r="414" spans="2:8">
      <c r="B414" s="193" t="s">
        <v>611</v>
      </c>
      <c r="C414" s="198" t="s">
        <v>444</v>
      </c>
      <c r="D414" s="332" t="s">
        <v>612</v>
      </c>
      <c r="E414" s="198" t="s">
        <v>55</v>
      </c>
      <c r="F414" s="296">
        <v>160</v>
      </c>
      <c r="G414" s="229"/>
      <c r="H414" s="251"/>
    </row>
    <row r="415" spans="2:8" ht="25.5">
      <c r="B415" s="193" t="s">
        <v>613</v>
      </c>
      <c r="C415" s="200" t="s">
        <v>467</v>
      </c>
      <c r="D415" s="338" t="s">
        <v>468</v>
      </c>
      <c r="E415" s="200" t="s">
        <v>55</v>
      </c>
      <c r="F415" s="296">
        <v>166.6</v>
      </c>
      <c r="G415" s="229"/>
      <c r="H415" s="251"/>
    </row>
    <row r="416" spans="2:8" ht="25.5">
      <c r="B416" s="193" t="s">
        <v>614</v>
      </c>
      <c r="C416" s="198" t="s">
        <v>470</v>
      </c>
      <c r="D416" s="332" t="s">
        <v>605</v>
      </c>
      <c r="E416" s="198" t="s">
        <v>55</v>
      </c>
      <c r="F416" s="296">
        <f>6.8*12.6+0.4*6</f>
        <v>88.08</v>
      </c>
      <c r="G416" s="229"/>
      <c r="H416" s="251"/>
    </row>
    <row r="417" spans="2:8">
      <c r="B417" s="193" t="s">
        <v>615</v>
      </c>
      <c r="C417" s="198"/>
      <c r="D417" s="332" t="s">
        <v>419</v>
      </c>
      <c r="E417" s="198"/>
      <c r="F417" s="296"/>
      <c r="G417" s="229"/>
      <c r="H417" s="251"/>
    </row>
    <row r="418" spans="2:8">
      <c r="B418" s="193" t="s">
        <v>616</v>
      </c>
      <c r="C418" s="198" t="s">
        <v>444</v>
      </c>
      <c r="D418" s="332" t="s">
        <v>609</v>
      </c>
      <c r="E418" s="198" t="s">
        <v>55</v>
      </c>
      <c r="F418" s="296">
        <v>8</v>
      </c>
      <c r="G418" s="229"/>
      <c r="H418" s="251"/>
    </row>
    <row r="419" spans="2:8" ht="25.5">
      <c r="B419" s="193" t="s">
        <v>617</v>
      </c>
      <c r="C419" s="200" t="s">
        <v>467</v>
      </c>
      <c r="D419" s="338" t="s">
        <v>468</v>
      </c>
      <c r="E419" s="200" t="s">
        <v>55</v>
      </c>
      <c r="F419" s="296">
        <f>16*3</f>
        <v>48</v>
      </c>
      <c r="G419" s="229"/>
      <c r="H419" s="251"/>
    </row>
    <row r="420" spans="2:8" ht="26.25" thickBot="1">
      <c r="B420" s="193" t="s">
        <v>618</v>
      </c>
      <c r="C420" s="198" t="s">
        <v>470</v>
      </c>
      <c r="D420" s="332" t="s">
        <v>605</v>
      </c>
      <c r="E420" s="198" t="s">
        <v>55</v>
      </c>
      <c r="F420" s="296">
        <f>4.4*4.4</f>
        <v>19.360000000000003</v>
      </c>
      <c r="G420" s="229"/>
      <c r="H420" s="251"/>
    </row>
    <row r="421" spans="2:8" ht="16.5" thickBot="1">
      <c r="B421" s="479" t="s">
        <v>619</v>
      </c>
      <c r="C421" s="480" t="s">
        <v>620</v>
      </c>
      <c r="D421" s="481" t="s">
        <v>621</v>
      </c>
      <c r="E421" s="482"/>
      <c r="F421" s="483"/>
      <c r="G421" s="493"/>
      <c r="H421" s="280"/>
    </row>
    <row r="422" spans="2:8" ht="15">
      <c r="B422" s="486" t="s">
        <v>622</v>
      </c>
      <c r="C422" s="487"/>
      <c r="D422" s="488" t="s">
        <v>133</v>
      </c>
      <c r="E422" s="489"/>
      <c r="F422" s="490"/>
      <c r="G422" s="491"/>
      <c r="H422" s="492"/>
    </row>
    <row r="423" spans="2:8" ht="25.5">
      <c r="B423" s="129" t="s">
        <v>623</v>
      </c>
      <c r="C423" s="198" t="s">
        <v>624</v>
      </c>
      <c r="D423" s="310" t="s">
        <v>625</v>
      </c>
      <c r="E423" s="198" t="s">
        <v>55</v>
      </c>
      <c r="F423" s="281">
        <f>18.2*4*3.6</f>
        <v>262.08</v>
      </c>
      <c r="G423" s="229"/>
      <c r="H423" s="230"/>
    </row>
    <row r="424" spans="2:8" ht="25.5">
      <c r="B424" s="129" t="s">
        <v>626</v>
      </c>
      <c r="C424" s="198" t="s">
        <v>624</v>
      </c>
      <c r="D424" s="310" t="s">
        <v>627</v>
      </c>
      <c r="E424" s="198" t="s">
        <v>55</v>
      </c>
      <c r="F424" s="281">
        <f>18.2*18.2*1.1</f>
        <v>364.36399999999998</v>
      </c>
      <c r="G424" s="229"/>
      <c r="H424" s="235"/>
    </row>
    <row r="425" spans="2:8" ht="25.5">
      <c r="B425" s="129" t="s">
        <v>628</v>
      </c>
      <c r="C425" s="198" t="s">
        <v>624</v>
      </c>
      <c r="D425" s="310" t="s">
        <v>629</v>
      </c>
      <c r="E425" s="198" t="s">
        <v>55</v>
      </c>
      <c r="F425" s="281">
        <f>5.65*1.12*1.2+(2.35*2+3.3*2)*0.4</f>
        <v>12.113600000000002</v>
      </c>
      <c r="G425" s="229"/>
      <c r="H425" s="235"/>
    </row>
    <row r="426" spans="2:8" ht="25.5">
      <c r="B426" s="129" t="s">
        <v>630</v>
      </c>
      <c r="C426" s="198" t="s">
        <v>624</v>
      </c>
      <c r="D426" s="310" t="s">
        <v>631</v>
      </c>
      <c r="E426" s="198" t="s">
        <v>55</v>
      </c>
      <c r="F426" s="281">
        <v>36</v>
      </c>
      <c r="G426" s="229"/>
      <c r="H426" s="235"/>
    </row>
    <row r="427" spans="2:8">
      <c r="B427" s="129" t="s">
        <v>632</v>
      </c>
      <c r="C427" s="198" t="s">
        <v>633</v>
      </c>
      <c r="D427" s="332" t="s">
        <v>634</v>
      </c>
      <c r="E427" s="198" t="s">
        <v>55</v>
      </c>
      <c r="F427" s="281">
        <f>+(13+12.3+10.5+5+12+6.5+12+4+3+6)*3.5*2+(6+4.5+1.5)*3.5</f>
        <v>632.1</v>
      </c>
      <c r="G427" s="229"/>
      <c r="H427" s="235"/>
    </row>
    <row r="428" spans="2:8">
      <c r="B428" s="129" t="s">
        <v>635</v>
      </c>
      <c r="C428" s="198" t="s">
        <v>636</v>
      </c>
      <c r="D428" s="332" t="s">
        <v>637</v>
      </c>
      <c r="E428" s="198" t="s">
        <v>55</v>
      </c>
      <c r="F428" s="281">
        <f>+(6+6)*3.5</f>
        <v>42</v>
      </c>
      <c r="G428" s="229"/>
      <c r="H428" s="235"/>
    </row>
    <row r="429" spans="2:8" ht="15">
      <c r="B429" s="186" t="s">
        <v>638</v>
      </c>
      <c r="C429" s="312"/>
      <c r="D429" s="313" t="s">
        <v>222</v>
      </c>
      <c r="E429" s="314"/>
      <c r="F429" s="297"/>
      <c r="G429" s="233"/>
      <c r="H429" s="234"/>
    </row>
    <row r="430" spans="2:8">
      <c r="B430" s="183" t="s">
        <v>639</v>
      </c>
      <c r="C430" s="198"/>
      <c r="D430" s="330" t="s">
        <v>224</v>
      </c>
      <c r="E430" s="331"/>
      <c r="F430" s="287"/>
      <c r="G430" s="243"/>
      <c r="H430" s="242"/>
    </row>
    <row r="431" spans="2:8">
      <c r="B431" s="129" t="s">
        <v>640</v>
      </c>
      <c r="C431" s="198" t="s">
        <v>633</v>
      </c>
      <c r="D431" s="332" t="s">
        <v>634</v>
      </c>
      <c r="E431" s="198" t="s">
        <v>55</v>
      </c>
      <c r="F431" s="281">
        <f>+(15+24+8.3+4.3+15+40+10.6+8)*3.8+365*2</f>
        <v>1205.76</v>
      </c>
      <c r="G431" s="243"/>
      <c r="H431" s="244"/>
    </row>
    <row r="432" spans="2:8">
      <c r="B432" s="129" t="s">
        <v>641</v>
      </c>
      <c r="C432" s="198" t="s">
        <v>642</v>
      </c>
      <c r="D432" s="310" t="s">
        <v>643</v>
      </c>
      <c r="E432" s="198" t="s">
        <v>55</v>
      </c>
      <c r="F432" s="281">
        <f>+(3.5+24+8.3+15+40)*4</f>
        <v>363.2</v>
      </c>
      <c r="G432" s="229"/>
      <c r="H432" s="235"/>
    </row>
    <row r="433" spans="2:8" ht="25.5">
      <c r="B433" s="129" t="s">
        <v>644</v>
      </c>
      <c r="C433" s="198" t="s">
        <v>624</v>
      </c>
      <c r="D433" s="310" t="s">
        <v>631</v>
      </c>
      <c r="E433" s="198" t="s">
        <v>55</v>
      </c>
      <c r="F433" s="281">
        <v>120</v>
      </c>
      <c r="G433" s="229"/>
      <c r="H433" s="235"/>
    </row>
    <row r="434" spans="2:8" ht="25.5">
      <c r="B434" s="129" t="s">
        <v>645</v>
      </c>
      <c r="C434" s="198" t="s">
        <v>624</v>
      </c>
      <c r="D434" s="310" t="s">
        <v>627</v>
      </c>
      <c r="E434" s="198" t="s">
        <v>55</v>
      </c>
      <c r="F434" s="281">
        <f>14*3.5+(14+3.5)*0.5+7*5</f>
        <v>92.75</v>
      </c>
      <c r="G434" s="229"/>
      <c r="H434" s="235"/>
    </row>
    <row r="435" spans="2:8" ht="25.5">
      <c r="B435" s="129" t="s">
        <v>646</v>
      </c>
      <c r="C435" s="198" t="s">
        <v>624</v>
      </c>
      <c r="D435" s="310" t="s">
        <v>629</v>
      </c>
      <c r="E435" s="198" t="s">
        <v>55</v>
      </c>
      <c r="F435" s="281">
        <f>12*1.2+14*0.4</f>
        <v>20</v>
      </c>
      <c r="G435" s="229"/>
      <c r="H435" s="235"/>
    </row>
    <row r="436" spans="2:8" ht="38.25">
      <c r="B436" s="129" t="s">
        <v>647</v>
      </c>
      <c r="C436" s="198" t="s">
        <v>642</v>
      </c>
      <c r="D436" s="340" t="s">
        <v>648</v>
      </c>
      <c r="E436" s="188" t="s">
        <v>209</v>
      </c>
      <c r="F436" s="281">
        <f>3.2*2*5+7.2*2*3</f>
        <v>75.2</v>
      </c>
      <c r="G436" s="229"/>
      <c r="H436" s="242"/>
    </row>
    <row r="437" spans="2:8">
      <c r="B437" s="183" t="s">
        <v>649</v>
      </c>
      <c r="C437" s="198"/>
      <c r="D437" s="330" t="s">
        <v>236</v>
      </c>
      <c r="E437" s="331"/>
      <c r="F437" s="287"/>
      <c r="G437" s="243"/>
      <c r="H437" s="242"/>
    </row>
    <row r="438" spans="2:8">
      <c r="B438" s="183" t="s">
        <v>650</v>
      </c>
      <c r="C438" s="198" t="s">
        <v>642</v>
      </c>
      <c r="D438" s="310" t="s">
        <v>643</v>
      </c>
      <c r="E438" s="198" t="s">
        <v>55</v>
      </c>
      <c r="F438" s="281">
        <f>+(12+4.5+11)*4</f>
        <v>110</v>
      </c>
      <c r="G438" s="229"/>
      <c r="H438" s="242"/>
    </row>
    <row r="439" spans="2:8">
      <c r="B439" s="183" t="s">
        <v>651</v>
      </c>
      <c r="C439" s="198" t="s">
        <v>633</v>
      </c>
      <c r="D439" s="332" t="s">
        <v>634</v>
      </c>
      <c r="E439" s="198" t="s">
        <v>55</v>
      </c>
      <c r="F439" s="281">
        <f>+(12+4.5+11.5+12.5+5.5+4.5)*3.8+(3+16+12+10+8+11+31+7.5+4.5+7.5+4+6+4)*2*3.8-90</f>
        <v>1048.0999999999999</v>
      </c>
      <c r="G439" s="229"/>
      <c r="H439" s="242"/>
    </row>
    <row r="440" spans="2:8">
      <c r="B440" s="183" t="s">
        <v>652</v>
      </c>
      <c r="C440" s="198" t="s">
        <v>636</v>
      </c>
      <c r="D440" s="332" t="s">
        <v>637</v>
      </c>
      <c r="E440" s="198" t="s">
        <v>55</v>
      </c>
      <c r="F440" s="281">
        <f>+(6+8+11.5+5.5+4)*3</f>
        <v>105</v>
      </c>
      <c r="G440" s="229"/>
      <c r="H440" s="242"/>
    </row>
    <row r="441" spans="2:8" ht="25.5">
      <c r="B441" s="183" t="s">
        <v>653</v>
      </c>
      <c r="C441" s="198" t="s">
        <v>624</v>
      </c>
      <c r="D441" s="310" t="s">
        <v>631</v>
      </c>
      <c r="E441" s="198" t="s">
        <v>55</v>
      </c>
      <c r="F441" s="281">
        <f>(3.2*0.5/4+8*3)*4</f>
        <v>97.6</v>
      </c>
      <c r="G441" s="229"/>
      <c r="H441" s="242"/>
    </row>
    <row r="442" spans="2:8" ht="25.5">
      <c r="B442" s="183" t="s">
        <v>654</v>
      </c>
      <c r="C442" s="198" t="s">
        <v>624</v>
      </c>
      <c r="D442" s="310" t="s">
        <v>627</v>
      </c>
      <c r="E442" s="198" t="s">
        <v>55</v>
      </c>
      <c r="F442" s="281">
        <v>24</v>
      </c>
      <c r="G442" s="229"/>
      <c r="H442" s="242"/>
    </row>
    <row r="443" spans="2:8" ht="25.5">
      <c r="B443" s="183" t="s">
        <v>655</v>
      </c>
      <c r="C443" s="198" t="s">
        <v>624</v>
      </c>
      <c r="D443" s="310" t="s">
        <v>629</v>
      </c>
      <c r="E443" s="198" t="s">
        <v>55</v>
      </c>
      <c r="F443" s="281">
        <f>(26*1.1+6.5*0.4)*2</f>
        <v>62.400000000000006</v>
      </c>
      <c r="G443" s="229"/>
      <c r="H443" s="242"/>
    </row>
    <row r="444" spans="2:8" ht="25.5">
      <c r="B444" s="183" t="s">
        <v>656</v>
      </c>
      <c r="C444" s="198" t="s">
        <v>642</v>
      </c>
      <c r="D444" s="310" t="s">
        <v>657</v>
      </c>
      <c r="E444" s="198" t="s">
        <v>309</v>
      </c>
      <c r="F444" s="281">
        <v>1</v>
      </c>
      <c r="G444" s="229"/>
      <c r="H444" s="235"/>
    </row>
    <row r="445" spans="2:8" ht="25.5">
      <c r="B445" s="183" t="s">
        <v>658</v>
      </c>
      <c r="C445" s="198" t="s">
        <v>642</v>
      </c>
      <c r="D445" s="310" t="s">
        <v>659</v>
      </c>
      <c r="E445" s="188" t="s">
        <v>309</v>
      </c>
      <c r="F445" s="281">
        <v>1</v>
      </c>
      <c r="G445" s="229"/>
      <c r="H445" s="235"/>
    </row>
    <row r="446" spans="2:8">
      <c r="B446" s="183" t="s">
        <v>660</v>
      </c>
      <c r="C446" s="198"/>
      <c r="D446" s="330" t="s">
        <v>243</v>
      </c>
      <c r="E446" s="331"/>
      <c r="F446" s="287"/>
      <c r="G446" s="243"/>
      <c r="H446" s="242"/>
    </row>
    <row r="447" spans="2:8">
      <c r="B447" s="183" t="s">
        <v>661</v>
      </c>
      <c r="C447" s="198" t="s">
        <v>642</v>
      </c>
      <c r="D447" s="310" t="s">
        <v>643</v>
      </c>
      <c r="E447" s="198" t="s">
        <v>55</v>
      </c>
      <c r="F447" s="281">
        <f>+(35+3.5+1+19+6+27)*4</f>
        <v>366</v>
      </c>
      <c r="G447" s="229"/>
      <c r="H447" s="235"/>
    </row>
    <row r="448" spans="2:8">
      <c r="B448" s="183" t="s">
        <v>662</v>
      </c>
      <c r="C448" s="198" t="s">
        <v>633</v>
      </c>
      <c r="D448" s="332" t="s">
        <v>634</v>
      </c>
      <c r="E448" s="198" t="s">
        <v>55</v>
      </c>
      <c r="F448" s="281">
        <f>+(35+10+6+19+5+5+3.5+28+11.5)*3.8+(1+2.5+1.5+8+12.5+6.5+4)*2*3.8</f>
        <v>741</v>
      </c>
      <c r="G448" s="229"/>
      <c r="H448" s="235"/>
    </row>
    <row r="449" spans="2:8" ht="25.5">
      <c r="B449" s="183" t="s">
        <v>663</v>
      </c>
      <c r="C449" s="198" t="s">
        <v>624</v>
      </c>
      <c r="D449" s="310" t="s">
        <v>631</v>
      </c>
      <c r="E449" s="198" t="s">
        <v>55</v>
      </c>
      <c r="F449" s="281">
        <v>120</v>
      </c>
      <c r="G449" s="229"/>
      <c r="H449" s="235"/>
    </row>
    <row r="450" spans="2:8" ht="25.5">
      <c r="B450" s="183" t="s">
        <v>664</v>
      </c>
      <c r="C450" s="198" t="s">
        <v>624</v>
      </c>
      <c r="D450" s="310" t="s">
        <v>627</v>
      </c>
      <c r="E450" s="198" t="s">
        <v>55</v>
      </c>
      <c r="F450" s="281">
        <f>80+36</f>
        <v>116</v>
      </c>
      <c r="G450" s="229"/>
      <c r="H450" s="235"/>
    </row>
    <row r="451" spans="2:8" ht="25.5">
      <c r="B451" s="183" t="s">
        <v>665</v>
      </c>
      <c r="C451" s="198" t="s">
        <v>624</v>
      </c>
      <c r="D451" s="310" t="s">
        <v>629</v>
      </c>
      <c r="E451" s="198" t="s">
        <v>55</v>
      </c>
      <c r="F451" s="281">
        <f>12*1.2+14*0.4</f>
        <v>20</v>
      </c>
      <c r="G451" s="229"/>
      <c r="H451" s="235"/>
    </row>
    <row r="452" spans="2:8" ht="38.25">
      <c r="B452" s="183" t="s">
        <v>666</v>
      </c>
      <c r="C452" s="198" t="s">
        <v>642</v>
      </c>
      <c r="D452" s="340" t="s">
        <v>648</v>
      </c>
      <c r="E452" s="188" t="s">
        <v>209</v>
      </c>
      <c r="F452" s="281">
        <v>75.2</v>
      </c>
      <c r="G452" s="229"/>
      <c r="H452" s="242"/>
    </row>
    <row r="453" spans="2:8">
      <c r="B453" s="191" t="s">
        <v>667</v>
      </c>
      <c r="C453" s="341"/>
      <c r="D453" s="336" t="s">
        <v>668</v>
      </c>
      <c r="E453" s="201"/>
      <c r="F453" s="294"/>
      <c r="G453" s="247"/>
      <c r="H453" s="248"/>
    </row>
    <row r="454" spans="2:8">
      <c r="B454" s="191" t="s">
        <v>669</v>
      </c>
      <c r="C454" s="198" t="s">
        <v>624</v>
      </c>
      <c r="D454" s="310" t="s">
        <v>670</v>
      </c>
      <c r="E454" s="198" t="s">
        <v>55</v>
      </c>
      <c r="F454" s="281">
        <f>80+20+(15+18)*2</f>
        <v>166</v>
      </c>
      <c r="G454" s="229"/>
      <c r="H454" s="242"/>
    </row>
    <row r="455" spans="2:8">
      <c r="B455" s="191" t="s">
        <v>671</v>
      </c>
      <c r="C455" s="198" t="s">
        <v>624</v>
      </c>
      <c r="D455" s="310" t="s">
        <v>672</v>
      </c>
      <c r="E455" s="198" t="s">
        <v>55</v>
      </c>
      <c r="F455" s="281">
        <f>50*3.5</f>
        <v>175</v>
      </c>
      <c r="G455" s="229"/>
      <c r="H455" s="242"/>
    </row>
    <row r="456" spans="2:8" ht="25.5">
      <c r="B456" s="191" t="s">
        <v>673</v>
      </c>
      <c r="C456" s="198" t="s">
        <v>624</v>
      </c>
      <c r="D456" s="310" t="s">
        <v>631</v>
      </c>
      <c r="E456" s="198" t="s">
        <v>55</v>
      </c>
      <c r="F456" s="281">
        <v>224</v>
      </c>
      <c r="G456" s="229"/>
      <c r="H456" s="242"/>
    </row>
    <row r="457" spans="2:8">
      <c r="B457" s="191" t="s">
        <v>674</v>
      </c>
      <c r="C457" s="198" t="s">
        <v>642</v>
      </c>
      <c r="D457" s="310" t="s">
        <v>643</v>
      </c>
      <c r="E457" s="198" t="s">
        <v>55</v>
      </c>
      <c r="F457" s="281">
        <f>(20+27)*3.5+15*4</f>
        <v>224.5</v>
      </c>
      <c r="G457" s="229"/>
      <c r="H457" s="242"/>
    </row>
    <row r="458" spans="2:8">
      <c r="B458" s="191" t="s">
        <v>675</v>
      </c>
      <c r="C458" s="198" t="s">
        <v>633</v>
      </c>
      <c r="D458" s="332" t="s">
        <v>634</v>
      </c>
      <c r="E458" s="198" t="s">
        <v>55</v>
      </c>
      <c r="F458" s="281">
        <v>250</v>
      </c>
      <c r="G458" s="229"/>
      <c r="H458" s="242"/>
    </row>
    <row r="459" spans="2:8" ht="25.5">
      <c r="B459" s="191" t="s">
        <v>676</v>
      </c>
      <c r="C459" s="198" t="s">
        <v>624</v>
      </c>
      <c r="D459" s="310" t="s">
        <v>627</v>
      </c>
      <c r="E459" s="198" t="s">
        <v>55</v>
      </c>
      <c r="F459" s="281">
        <v>2110</v>
      </c>
      <c r="G459" s="229"/>
      <c r="H459" s="242"/>
    </row>
    <row r="460" spans="2:8" ht="15">
      <c r="B460" s="186" t="s">
        <v>677</v>
      </c>
      <c r="C460" s="312"/>
      <c r="D460" s="313" t="s">
        <v>224</v>
      </c>
      <c r="E460" s="314"/>
      <c r="F460" s="283"/>
      <c r="G460" s="233"/>
      <c r="H460" s="234"/>
    </row>
    <row r="461" spans="2:8">
      <c r="B461" s="129" t="s">
        <v>678</v>
      </c>
      <c r="C461" s="333"/>
      <c r="D461" s="340" t="s">
        <v>679</v>
      </c>
      <c r="E461" s="342"/>
      <c r="F461" s="287"/>
      <c r="G461" s="243"/>
      <c r="H461" s="244"/>
    </row>
    <row r="462" spans="2:8">
      <c r="B462" s="129" t="s">
        <v>680</v>
      </c>
      <c r="C462" s="198" t="s">
        <v>642</v>
      </c>
      <c r="D462" s="332" t="s">
        <v>643</v>
      </c>
      <c r="E462" s="198" t="s">
        <v>55</v>
      </c>
      <c r="F462" s="281">
        <v>110</v>
      </c>
      <c r="G462" s="229"/>
      <c r="H462" s="244"/>
    </row>
    <row r="463" spans="2:8">
      <c r="B463" s="129" t="s">
        <v>681</v>
      </c>
      <c r="C463" s="198" t="s">
        <v>633</v>
      </c>
      <c r="D463" s="332" t="s">
        <v>634</v>
      </c>
      <c r="E463" s="343" t="s">
        <v>55</v>
      </c>
      <c r="F463" s="281">
        <f>+(1.4+40+4.5+4.5+11+4.5+2.5+24.5+3)*3.8+(8*2+4.5*4+8+4+10+7+34+13+3)*3.8</f>
        <v>793.81999999999994</v>
      </c>
      <c r="G463" s="229"/>
      <c r="H463" s="244"/>
    </row>
    <row r="464" spans="2:8">
      <c r="B464" s="129" t="s">
        <v>682</v>
      </c>
      <c r="C464" s="198" t="s">
        <v>624</v>
      </c>
      <c r="D464" s="310" t="s">
        <v>683</v>
      </c>
      <c r="E464" s="198" t="s">
        <v>55</v>
      </c>
      <c r="F464" s="281">
        <v>82</v>
      </c>
      <c r="G464" s="229"/>
      <c r="H464" s="230"/>
    </row>
    <row r="465" spans="2:8" ht="25.5">
      <c r="B465" s="129" t="s">
        <v>684</v>
      </c>
      <c r="C465" s="198" t="s">
        <v>624</v>
      </c>
      <c r="D465" s="310" t="s">
        <v>631</v>
      </c>
      <c r="E465" s="198" t="s">
        <v>55</v>
      </c>
      <c r="F465" s="281">
        <v>120</v>
      </c>
      <c r="G465" s="229"/>
      <c r="H465" s="230"/>
    </row>
    <row r="466" spans="2:8" ht="38.25">
      <c r="B466" s="129" t="s">
        <v>685</v>
      </c>
      <c r="C466" s="198" t="s">
        <v>642</v>
      </c>
      <c r="D466" s="340" t="s">
        <v>648</v>
      </c>
      <c r="E466" s="188" t="s">
        <v>209</v>
      </c>
      <c r="F466" s="281">
        <f>3.2*2*5+7.2*2*6</f>
        <v>118.4</v>
      </c>
      <c r="G466" s="229"/>
      <c r="H466" s="244"/>
    </row>
    <row r="467" spans="2:8" ht="25.5">
      <c r="B467" s="129" t="s">
        <v>686</v>
      </c>
      <c r="C467" s="198" t="s">
        <v>642</v>
      </c>
      <c r="D467" s="310" t="s">
        <v>687</v>
      </c>
      <c r="E467" s="198" t="s">
        <v>309</v>
      </c>
      <c r="F467" s="281">
        <v>1</v>
      </c>
      <c r="G467" s="229"/>
      <c r="H467" s="244"/>
    </row>
    <row r="468" spans="2:8">
      <c r="B468" s="129" t="s">
        <v>688</v>
      </c>
      <c r="C468" s="333"/>
      <c r="D468" s="340" t="s">
        <v>264</v>
      </c>
      <c r="E468" s="342"/>
      <c r="F468" s="287"/>
      <c r="G468" s="243"/>
      <c r="H468" s="244"/>
    </row>
    <row r="469" spans="2:8">
      <c r="B469" s="129" t="s">
        <v>689</v>
      </c>
      <c r="C469" s="198" t="s">
        <v>642</v>
      </c>
      <c r="D469" s="332" t="s">
        <v>643</v>
      </c>
      <c r="E469" s="198" t="s">
        <v>55</v>
      </c>
      <c r="F469" s="281">
        <v>118</v>
      </c>
      <c r="G469" s="229"/>
      <c r="H469" s="230"/>
    </row>
    <row r="470" spans="2:8">
      <c r="B470" s="129" t="s">
        <v>690</v>
      </c>
      <c r="C470" s="198" t="s">
        <v>633</v>
      </c>
      <c r="D470" s="332" t="s">
        <v>634</v>
      </c>
      <c r="E470" s="343" t="s">
        <v>55</v>
      </c>
      <c r="F470" s="281">
        <f>+(1.4+40+4.5+4.5+11+4.5+2.5+24.5+3)*3.8+(4.5*4+9*2+13)*3.8</f>
        <v>550.62</v>
      </c>
      <c r="G470" s="229"/>
      <c r="H470" s="230"/>
    </row>
    <row r="471" spans="2:8">
      <c r="B471" s="129" t="s">
        <v>691</v>
      </c>
      <c r="C471" s="198" t="s">
        <v>624</v>
      </c>
      <c r="D471" s="310" t="s">
        <v>683</v>
      </c>
      <c r="E471" s="198" t="s">
        <v>55</v>
      </c>
      <c r="F471" s="281">
        <v>42</v>
      </c>
      <c r="G471" s="229"/>
      <c r="H471" s="230"/>
    </row>
    <row r="472" spans="2:8" ht="25.5">
      <c r="B472" s="129" t="s">
        <v>692</v>
      </c>
      <c r="C472" s="198" t="s">
        <v>624</v>
      </c>
      <c r="D472" s="310" t="s">
        <v>631</v>
      </c>
      <c r="E472" s="198" t="s">
        <v>55</v>
      </c>
      <c r="F472" s="281">
        <v>120</v>
      </c>
      <c r="G472" s="229"/>
      <c r="H472" s="230"/>
    </row>
    <row r="473" spans="2:8" ht="38.25">
      <c r="B473" s="129" t="s">
        <v>693</v>
      </c>
      <c r="C473" s="198" t="s">
        <v>642</v>
      </c>
      <c r="D473" s="340" t="s">
        <v>648</v>
      </c>
      <c r="E473" s="188" t="s">
        <v>209</v>
      </c>
      <c r="F473" s="281">
        <f>3.2*2*5+7.2*2*6</f>
        <v>118.4</v>
      </c>
      <c r="G473" s="229"/>
      <c r="H473" s="230"/>
    </row>
    <row r="474" spans="2:8">
      <c r="B474" s="129" t="s">
        <v>694</v>
      </c>
      <c r="C474" s="333"/>
      <c r="D474" s="340" t="s">
        <v>272</v>
      </c>
      <c r="E474" s="342"/>
      <c r="F474" s="287"/>
      <c r="G474" s="243"/>
      <c r="H474" s="244"/>
    </row>
    <row r="475" spans="2:8">
      <c r="B475" s="129" t="s">
        <v>695</v>
      </c>
      <c r="C475" s="198" t="s">
        <v>642</v>
      </c>
      <c r="D475" s="332" t="s">
        <v>643</v>
      </c>
      <c r="E475" s="198" t="s">
        <v>55</v>
      </c>
      <c r="F475" s="281">
        <v>110</v>
      </c>
      <c r="G475" s="229"/>
      <c r="H475" s="230"/>
    </row>
    <row r="476" spans="2:8">
      <c r="B476" s="129" t="s">
        <v>696</v>
      </c>
      <c r="C476" s="198" t="s">
        <v>633</v>
      </c>
      <c r="D476" s="332" t="s">
        <v>634</v>
      </c>
      <c r="E476" s="343" t="s">
        <v>55</v>
      </c>
      <c r="F476" s="281">
        <f>+(1.4+40+4.5+4.5+11+4.5+2.5+24.5+3)*3.8+(4.5*4+9*2+13)*3.8+(6*2+4*2+2.5*4+1.5*2)*3.8</f>
        <v>676.02</v>
      </c>
      <c r="G476" s="229"/>
      <c r="H476" s="230"/>
    </row>
    <row r="477" spans="2:8">
      <c r="B477" s="129" t="s">
        <v>697</v>
      </c>
      <c r="C477" s="198" t="s">
        <v>624</v>
      </c>
      <c r="D477" s="310" t="s">
        <v>683</v>
      </c>
      <c r="E477" s="198" t="s">
        <v>55</v>
      </c>
      <c r="F477" s="281">
        <f>55+21</f>
        <v>76</v>
      </c>
      <c r="G477" s="229"/>
      <c r="H477" s="230"/>
    </row>
    <row r="478" spans="2:8" ht="25.5">
      <c r="B478" s="129" t="s">
        <v>698</v>
      </c>
      <c r="C478" s="198" t="s">
        <v>624</v>
      </c>
      <c r="D478" s="310" t="s">
        <v>631</v>
      </c>
      <c r="E478" s="198" t="s">
        <v>55</v>
      </c>
      <c r="F478" s="281">
        <v>120</v>
      </c>
      <c r="G478" s="229"/>
      <c r="H478" s="230"/>
    </row>
    <row r="479" spans="2:8" ht="38.25">
      <c r="B479" s="129" t="s">
        <v>699</v>
      </c>
      <c r="C479" s="198" t="s">
        <v>642</v>
      </c>
      <c r="D479" s="340" t="s">
        <v>648</v>
      </c>
      <c r="E479" s="188" t="s">
        <v>209</v>
      </c>
      <c r="F479" s="281">
        <f>3.2*2*5+7.2*2*8</f>
        <v>147.19999999999999</v>
      </c>
      <c r="G479" s="229"/>
      <c r="H479" s="230"/>
    </row>
    <row r="480" spans="2:8">
      <c r="B480" s="129" t="s">
        <v>700</v>
      </c>
      <c r="C480" s="333"/>
      <c r="D480" s="340" t="s">
        <v>279</v>
      </c>
      <c r="E480" s="342"/>
      <c r="F480" s="287"/>
      <c r="G480" s="243"/>
      <c r="H480" s="244"/>
    </row>
    <row r="481" spans="2:8">
      <c r="B481" s="129" t="s">
        <v>701</v>
      </c>
      <c r="C481" s="198" t="s">
        <v>642</v>
      </c>
      <c r="D481" s="332" t="s">
        <v>643</v>
      </c>
      <c r="E481" s="198" t="s">
        <v>55</v>
      </c>
      <c r="F481" s="281">
        <v>110</v>
      </c>
      <c r="G481" s="229"/>
      <c r="H481" s="230"/>
    </row>
    <row r="482" spans="2:8">
      <c r="B482" s="129" t="s">
        <v>702</v>
      </c>
      <c r="C482" s="198" t="s">
        <v>633</v>
      </c>
      <c r="D482" s="332" t="s">
        <v>634</v>
      </c>
      <c r="E482" s="343" t="s">
        <v>55</v>
      </c>
      <c r="F482" s="281">
        <f>+(1.4+40+4.5+4.5+11+4.5+2.5+24.5+3)*3.8+(4.5*4+9*2+13)*3.8+(6*2+4*2+2.5*4+1.5*2)*3.8</f>
        <v>676.02</v>
      </c>
      <c r="G482" s="229"/>
      <c r="H482" s="230"/>
    </row>
    <row r="483" spans="2:8">
      <c r="B483" s="129" t="s">
        <v>703</v>
      </c>
      <c r="C483" s="198" t="s">
        <v>624</v>
      </c>
      <c r="D483" s="310" t="s">
        <v>683</v>
      </c>
      <c r="E483" s="198" t="s">
        <v>55</v>
      </c>
      <c r="F483" s="281">
        <f>55+21</f>
        <v>76</v>
      </c>
      <c r="G483" s="229"/>
      <c r="H483" s="230"/>
    </row>
    <row r="484" spans="2:8" ht="25.5">
      <c r="B484" s="129" t="s">
        <v>704</v>
      </c>
      <c r="C484" s="198" t="s">
        <v>624</v>
      </c>
      <c r="D484" s="310" t="s">
        <v>631</v>
      </c>
      <c r="E484" s="198" t="s">
        <v>55</v>
      </c>
      <c r="F484" s="281">
        <v>120</v>
      </c>
      <c r="G484" s="229"/>
      <c r="H484" s="230"/>
    </row>
    <row r="485" spans="2:8" ht="38.25">
      <c r="B485" s="129" t="s">
        <v>705</v>
      </c>
      <c r="C485" s="198" t="s">
        <v>642</v>
      </c>
      <c r="D485" s="340" t="s">
        <v>648</v>
      </c>
      <c r="E485" s="188" t="s">
        <v>209</v>
      </c>
      <c r="F485" s="281">
        <f>3.2*2*5+7.2*2*8</f>
        <v>147.19999999999999</v>
      </c>
      <c r="G485" s="229"/>
      <c r="H485" s="230"/>
    </row>
    <row r="486" spans="2:8">
      <c r="B486" s="129" t="s">
        <v>706</v>
      </c>
      <c r="C486" s="333"/>
      <c r="D486" s="340" t="s">
        <v>286</v>
      </c>
      <c r="E486" s="342"/>
      <c r="F486" s="287"/>
      <c r="G486" s="243"/>
      <c r="H486" s="244"/>
    </row>
    <row r="487" spans="2:8">
      <c r="B487" s="129" t="s">
        <v>707</v>
      </c>
      <c r="C487" s="198" t="s">
        <v>642</v>
      </c>
      <c r="D487" s="332" t="s">
        <v>643</v>
      </c>
      <c r="E487" s="198" t="s">
        <v>55</v>
      </c>
      <c r="F487" s="281">
        <v>110</v>
      </c>
      <c r="G487" s="229"/>
      <c r="H487" s="230"/>
    </row>
    <row r="488" spans="2:8">
      <c r="B488" s="129" t="s">
        <v>708</v>
      </c>
      <c r="C488" s="198" t="s">
        <v>633</v>
      </c>
      <c r="D488" s="332" t="s">
        <v>634</v>
      </c>
      <c r="E488" s="343" t="s">
        <v>55</v>
      </c>
      <c r="F488" s="281">
        <f>+(1.4+40+4.5+4.5+11+4.5+2.5+24.5+3)*3.8+(4.5*4+9*2+13)*3.8+(6*2+4*2+2.5*4+1.5*2)*3.8</f>
        <v>676.02</v>
      </c>
      <c r="G488" s="229"/>
      <c r="H488" s="230"/>
    </row>
    <row r="489" spans="2:8">
      <c r="B489" s="129" t="s">
        <v>709</v>
      </c>
      <c r="C489" s="198" t="s">
        <v>624</v>
      </c>
      <c r="D489" s="310" t="s">
        <v>683</v>
      </c>
      <c r="E489" s="198" t="s">
        <v>55</v>
      </c>
      <c r="F489" s="281">
        <f>55+21</f>
        <v>76</v>
      </c>
      <c r="G489" s="229"/>
      <c r="H489" s="235"/>
    </row>
    <row r="490" spans="2:8" ht="25.5">
      <c r="B490" s="129" t="s">
        <v>710</v>
      </c>
      <c r="C490" s="198" t="s">
        <v>624</v>
      </c>
      <c r="D490" s="310" t="s">
        <v>631</v>
      </c>
      <c r="E490" s="198" t="s">
        <v>55</v>
      </c>
      <c r="F490" s="281">
        <v>120</v>
      </c>
      <c r="G490" s="229"/>
      <c r="H490" s="235"/>
    </row>
    <row r="491" spans="2:8" ht="38.25">
      <c r="B491" s="129" t="s">
        <v>711</v>
      </c>
      <c r="C491" s="198" t="s">
        <v>642</v>
      </c>
      <c r="D491" s="340" t="s">
        <v>648</v>
      </c>
      <c r="E491" s="188" t="s">
        <v>209</v>
      </c>
      <c r="F491" s="281">
        <f>3.2*2*5+7.2*2*8</f>
        <v>147.19999999999999</v>
      </c>
      <c r="G491" s="229"/>
      <c r="H491" s="235"/>
    </row>
    <row r="492" spans="2:8">
      <c r="B492" s="183" t="s">
        <v>712</v>
      </c>
      <c r="C492" s="333"/>
      <c r="D492" s="334" t="s">
        <v>293</v>
      </c>
      <c r="E492" s="331"/>
      <c r="F492" s="287"/>
      <c r="G492" s="243"/>
      <c r="H492" s="242"/>
    </row>
    <row r="493" spans="2:8">
      <c r="B493" s="183" t="s">
        <v>713</v>
      </c>
      <c r="C493" s="198" t="s">
        <v>642</v>
      </c>
      <c r="D493" s="332" t="s">
        <v>643</v>
      </c>
      <c r="E493" s="198" t="s">
        <v>55</v>
      </c>
      <c r="F493" s="281">
        <v>110</v>
      </c>
      <c r="G493" s="229"/>
      <c r="H493" s="235"/>
    </row>
    <row r="494" spans="2:8">
      <c r="B494" s="183" t="s">
        <v>714</v>
      </c>
      <c r="C494" s="198" t="s">
        <v>633</v>
      </c>
      <c r="D494" s="332" t="s">
        <v>634</v>
      </c>
      <c r="E494" s="343" t="s">
        <v>55</v>
      </c>
      <c r="F494" s="281">
        <f>+(1.4+40+4.5+4.5+11+4.5+2.5+24.5+3)*3.8+(4.5*4+9*2+13)*3.8</f>
        <v>550.62</v>
      </c>
      <c r="G494" s="229"/>
      <c r="H494" s="235"/>
    </row>
    <row r="495" spans="2:8">
      <c r="B495" s="183" t="s">
        <v>715</v>
      </c>
      <c r="C495" s="198" t="s">
        <v>624</v>
      </c>
      <c r="D495" s="310" t="s">
        <v>683</v>
      </c>
      <c r="E495" s="198" t="s">
        <v>55</v>
      </c>
      <c r="F495" s="281">
        <v>40</v>
      </c>
      <c r="G495" s="229"/>
      <c r="H495" s="235"/>
    </row>
    <row r="496" spans="2:8" ht="25.5">
      <c r="B496" s="183" t="s">
        <v>716</v>
      </c>
      <c r="C496" s="198" t="s">
        <v>624</v>
      </c>
      <c r="D496" s="310" t="s">
        <v>631</v>
      </c>
      <c r="E496" s="198" t="s">
        <v>55</v>
      </c>
      <c r="F496" s="281">
        <v>120</v>
      </c>
      <c r="G496" s="229"/>
      <c r="H496" s="235"/>
    </row>
    <row r="497" spans="2:8" ht="38.25">
      <c r="B497" s="183" t="s">
        <v>717</v>
      </c>
      <c r="C497" s="198" t="s">
        <v>642</v>
      </c>
      <c r="D497" s="340" t="s">
        <v>648</v>
      </c>
      <c r="E497" s="188" t="s">
        <v>209</v>
      </c>
      <c r="F497" s="281">
        <f>3.2*2*5+7.2*2*6</f>
        <v>118.4</v>
      </c>
      <c r="G497" s="229"/>
      <c r="H497" s="235"/>
    </row>
    <row r="498" spans="2:8">
      <c r="B498" s="183" t="s">
        <v>718</v>
      </c>
      <c r="C498" s="198"/>
      <c r="D498" s="334" t="s">
        <v>719</v>
      </c>
      <c r="E498" s="331"/>
      <c r="F498" s="287"/>
      <c r="G498" s="243"/>
      <c r="H498" s="242"/>
    </row>
    <row r="499" spans="2:8">
      <c r="B499" s="183" t="s">
        <v>720</v>
      </c>
      <c r="C499" s="198" t="s">
        <v>642</v>
      </c>
      <c r="D499" s="332" t="s">
        <v>643</v>
      </c>
      <c r="E499" s="198" t="s">
        <v>55</v>
      </c>
      <c r="F499" s="281">
        <v>300</v>
      </c>
      <c r="G499" s="229"/>
      <c r="H499" s="235"/>
    </row>
    <row r="500" spans="2:8">
      <c r="B500" s="183" t="s">
        <v>721</v>
      </c>
      <c r="C500" s="198" t="s">
        <v>633</v>
      </c>
      <c r="D500" s="332" t="s">
        <v>634</v>
      </c>
      <c r="E500" s="343" t="s">
        <v>55</v>
      </c>
      <c r="F500" s="281">
        <v>440</v>
      </c>
      <c r="G500" s="229"/>
      <c r="H500" s="235"/>
    </row>
    <row r="501" spans="2:8" ht="15">
      <c r="B501" s="186" t="s">
        <v>722</v>
      </c>
      <c r="C501" s="312"/>
      <c r="D501" s="313" t="s">
        <v>236</v>
      </c>
      <c r="E501" s="314"/>
      <c r="F501" s="283"/>
      <c r="G501" s="233"/>
      <c r="H501" s="234"/>
    </row>
    <row r="502" spans="2:8">
      <c r="B502" s="183" t="s">
        <v>723</v>
      </c>
      <c r="C502" s="333"/>
      <c r="D502" s="334" t="s">
        <v>679</v>
      </c>
      <c r="E502" s="331"/>
      <c r="F502" s="287"/>
      <c r="G502" s="243"/>
      <c r="H502" s="242"/>
    </row>
    <row r="503" spans="2:8">
      <c r="B503" s="183" t="s">
        <v>724</v>
      </c>
      <c r="C503" s="198" t="s">
        <v>642</v>
      </c>
      <c r="D503" s="332" t="s">
        <v>643</v>
      </c>
      <c r="E503" s="198" t="s">
        <v>55</v>
      </c>
      <c r="F503" s="281">
        <v>112</v>
      </c>
      <c r="G503" s="243"/>
      <c r="H503" s="242"/>
    </row>
    <row r="504" spans="2:8">
      <c r="B504" s="183" t="s">
        <v>725</v>
      </c>
      <c r="C504" s="198" t="s">
        <v>633</v>
      </c>
      <c r="D504" s="332" t="s">
        <v>634</v>
      </c>
      <c r="E504" s="343" t="s">
        <v>55</v>
      </c>
      <c r="F504" s="281">
        <f>+(11.5*2+5*2+5.5*2+5*4+4+4.5+9+10+8+4+5+5+2.5+10.5+26+10+2.5+6+8+9+10+12+8+10+10+2.5+5+16+22)*3.8-90</f>
        <v>987.3</v>
      </c>
      <c r="G504" s="243"/>
      <c r="H504" s="242"/>
    </row>
    <row r="505" spans="2:8">
      <c r="B505" s="183" t="s">
        <v>726</v>
      </c>
      <c r="C505" s="198" t="s">
        <v>636</v>
      </c>
      <c r="D505" s="332" t="s">
        <v>637</v>
      </c>
      <c r="E505" s="198" t="s">
        <v>55</v>
      </c>
      <c r="F505" s="287">
        <f>106*2.6</f>
        <v>275.60000000000002</v>
      </c>
      <c r="G505" s="229"/>
      <c r="H505" s="242"/>
    </row>
    <row r="506" spans="2:8">
      <c r="B506" s="183" t="s">
        <v>727</v>
      </c>
      <c r="C506" s="198" t="s">
        <v>624</v>
      </c>
      <c r="D506" s="310" t="s">
        <v>683</v>
      </c>
      <c r="E506" s="198" t="s">
        <v>55</v>
      </c>
      <c r="F506" s="281">
        <f>24*2</f>
        <v>48</v>
      </c>
      <c r="G506" s="229"/>
      <c r="H506" s="235"/>
    </row>
    <row r="507" spans="2:8" ht="25.5">
      <c r="B507" s="183" t="s">
        <v>728</v>
      </c>
      <c r="C507" s="198" t="s">
        <v>642</v>
      </c>
      <c r="D507" s="310" t="s">
        <v>659</v>
      </c>
      <c r="E507" s="188" t="s">
        <v>309</v>
      </c>
      <c r="F507" s="281">
        <v>1</v>
      </c>
      <c r="G507" s="229"/>
      <c r="H507" s="235"/>
    </row>
    <row r="508" spans="2:8">
      <c r="B508" s="183" t="s">
        <v>729</v>
      </c>
      <c r="C508" s="198" t="s">
        <v>624</v>
      </c>
      <c r="D508" s="310" t="s">
        <v>730</v>
      </c>
      <c r="E508" s="198" t="s">
        <v>55</v>
      </c>
      <c r="F508" s="281">
        <v>24</v>
      </c>
      <c r="G508" s="229"/>
      <c r="H508" s="235"/>
    </row>
    <row r="509" spans="2:8">
      <c r="B509" s="183" t="s">
        <v>731</v>
      </c>
      <c r="C509" s="333"/>
      <c r="D509" s="334" t="s">
        <v>264</v>
      </c>
      <c r="E509" s="331"/>
      <c r="F509" s="287"/>
      <c r="G509" s="243"/>
      <c r="H509" s="242"/>
    </row>
    <row r="510" spans="2:8">
      <c r="B510" s="183" t="s">
        <v>732</v>
      </c>
      <c r="C510" s="198" t="s">
        <v>642</v>
      </c>
      <c r="D510" s="332" t="s">
        <v>643</v>
      </c>
      <c r="E510" s="198" t="s">
        <v>55</v>
      </c>
      <c r="F510" s="281">
        <f>+(2+1.5+12+7+1.5+2)*4</f>
        <v>104</v>
      </c>
      <c r="G510" s="229"/>
      <c r="H510" s="235"/>
    </row>
    <row r="511" spans="2:8">
      <c r="B511" s="183" t="s">
        <v>733</v>
      </c>
      <c r="C511" s="198" t="s">
        <v>633</v>
      </c>
      <c r="D511" s="332" t="s">
        <v>634</v>
      </c>
      <c r="E511" s="343" t="s">
        <v>55</v>
      </c>
      <c r="F511" s="281">
        <f>+(11.5*2+5*2+5.5*2+5*4+4+4.5+9+10+8+4+5+5+2.5+10.5+26+10+2.5+6+8+9+10+12+8+10+10+2.5+5+16+22)*3.8-90</f>
        <v>987.3</v>
      </c>
      <c r="G511" s="229"/>
      <c r="H511" s="235"/>
    </row>
    <row r="512" spans="2:8">
      <c r="B512" s="183" t="s">
        <v>734</v>
      </c>
      <c r="C512" s="198" t="s">
        <v>636</v>
      </c>
      <c r="D512" s="332" t="s">
        <v>637</v>
      </c>
      <c r="E512" s="198" t="s">
        <v>55</v>
      </c>
      <c r="F512" s="287">
        <f>106*2.6</f>
        <v>275.60000000000002</v>
      </c>
      <c r="G512" s="229"/>
      <c r="H512" s="235"/>
    </row>
    <row r="513" spans="2:8">
      <c r="B513" s="183" t="s">
        <v>735</v>
      </c>
      <c r="C513" s="198" t="s">
        <v>624</v>
      </c>
      <c r="D513" s="310" t="s">
        <v>683</v>
      </c>
      <c r="E513" s="198" t="s">
        <v>55</v>
      </c>
      <c r="F513" s="281">
        <f>24*2</f>
        <v>48</v>
      </c>
      <c r="G513" s="229"/>
      <c r="H513" s="235"/>
    </row>
    <row r="514" spans="2:8">
      <c r="B514" s="183" t="s">
        <v>736</v>
      </c>
      <c r="C514" s="198" t="s">
        <v>624</v>
      </c>
      <c r="D514" s="310" t="s">
        <v>730</v>
      </c>
      <c r="E514" s="198" t="s">
        <v>55</v>
      </c>
      <c r="F514" s="281">
        <v>24</v>
      </c>
      <c r="G514" s="229"/>
      <c r="H514" s="235"/>
    </row>
    <row r="515" spans="2:8" ht="25.5">
      <c r="B515" s="183" t="s">
        <v>737</v>
      </c>
      <c r="C515" s="198" t="s">
        <v>642</v>
      </c>
      <c r="D515" s="310" t="s">
        <v>659</v>
      </c>
      <c r="E515" s="188" t="s">
        <v>309</v>
      </c>
      <c r="F515" s="281">
        <v>1</v>
      </c>
      <c r="G515" s="243"/>
      <c r="H515" s="242"/>
    </row>
    <row r="516" spans="2:8">
      <c r="B516" s="183" t="s">
        <v>738</v>
      </c>
      <c r="C516" s="333"/>
      <c r="D516" s="334" t="s">
        <v>272</v>
      </c>
      <c r="E516" s="331"/>
      <c r="F516" s="287"/>
      <c r="G516" s="243"/>
      <c r="H516" s="242"/>
    </row>
    <row r="517" spans="2:8">
      <c r="B517" s="183" t="s">
        <v>739</v>
      </c>
      <c r="C517" s="198" t="s">
        <v>642</v>
      </c>
      <c r="D517" s="332" t="s">
        <v>643</v>
      </c>
      <c r="E517" s="198" t="s">
        <v>55</v>
      </c>
      <c r="F517" s="281">
        <f>+(2+1.5+12+7+1.5+2)*4</f>
        <v>104</v>
      </c>
      <c r="G517" s="229"/>
      <c r="H517" s="235"/>
    </row>
    <row r="518" spans="2:8">
      <c r="B518" s="183" t="s">
        <v>740</v>
      </c>
      <c r="C518" s="198" t="s">
        <v>633</v>
      </c>
      <c r="D518" s="332" t="s">
        <v>634</v>
      </c>
      <c r="E518" s="343" t="s">
        <v>55</v>
      </c>
      <c r="F518" s="281">
        <f>+(11.5*2+5*2+5.5*2+5*4+4+4.5+9+10+8+4+5+5+2.5+10.5+26+10+2.5+6+8+9+10+12+8+10+10+2.5+5+16+22)*3.8-90</f>
        <v>987.3</v>
      </c>
      <c r="G518" s="229"/>
      <c r="H518" s="235"/>
    </row>
    <row r="519" spans="2:8">
      <c r="B519" s="183" t="s">
        <v>741</v>
      </c>
      <c r="C519" s="198" t="s">
        <v>636</v>
      </c>
      <c r="D519" s="332" t="s">
        <v>637</v>
      </c>
      <c r="E519" s="198" t="s">
        <v>55</v>
      </c>
      <c r="F519" s="287">
        <f>106*2.6</f>
        <v>275.60000000000002</v>
      </c>
      <c r="G519" s="229"/>
      <c r="H519" s="235"/>
    </row>
    <row r="520" spans="2:8">
      <c r="B520" s="183" t="s">
        <v>742</v>
      </c>
      <c r="C520" s="198" t="s">
        <v>624</v>
      </c>
      <c r="D520" s="310" t="s">
        <v>683</v>
      </c>
      <c r="E520" s="198" t="s">
        <v>55</v>
      </c>
      <c r="F520" s="281">
        <f>24*2</f>
        <v>48</v>
      </c>
      <c r="G520" s="229"/>
      <c r="H520" s="235"/>
    </row>
    <row r="521" spans="2:8">
      <c r="B521" s="183" t="s">
        <v>743</v>
      </c>
      <c r="C521" s="198" t="s">
        <v>624</v>
      </c>
      <c r="D521" s="310" t="s">
        <v>730</v>
      </c>
      <c r="E521" s="198" t="s">
        <v>55</v>
      </c>
      <c r="F521" s="281">
        <v>24</v>
      </c>
      <c r="G521" s="229"/>
      <c r="H521" s="235"/>
    </row>
    <row r="522" spans="2:8" ht="25.5">
      <c r="B522" s="183" t="s">
        <v>744</v>
      </c>
      <c r="C522" s="198" t="s">
        <v>642</v>
      </c>
      <c r="D522" s="310" t="s">
        <v>659</v>
      </c>
      <c r="E522" s="188" t="s">
        <v>309</v>
      </c>
      <c r="F522" s="281">
        <v>1</v>
      </c>
      <c r="G522" s="243"/>
      <c r="H522" s="242"/>
    </row>
    <row r="523" spans="2:8">
      <c r="B523" s="183" t="s">
        <v>745</v>
      </c>
      <c r="C523" s="333"/>
      <c r="D523" s="334" t="s">
        <v>279</v>
      </c>
      <c r="E523" s="331"/>
      <c r="F523" s="287"/>
      <c r="G523" s="243"/>
      <c r="H523" s="242"/>
    </row>
    <row r="524" spans="2:8">
      <c r="B524" s="183" t="s">
        <v>746</v>
      </c>
      <c r="C524" s="198" t="s">
        <v>642</v>
      </c>
      <c r="D524" s="332" t="s">
        <v>643</v>
      </c>
      <c r="E524" s="198" t="s">
        <v>55</v>
      </c>
      <c r="F524" s="281">
        <f>+(2+1.5+12+7+1.5+2)*4</f>
        <v>104</v>
      </c>
      <c r="G524" s="229"/>
      <c r="H524" s="235"/>
    </row>
    <row r="525" spans="2:8">
      <c r="B525" s="183" t="s">
        <v>747</v>
      </c>
      <c r="C525" s="198" t="s">
        <v>633</v>
      </c>
      <c r="D525" s="332" t="s">
        <v>634</v>
      </c>
      <c r="E525" s="343" t="s">
        <v>55</v>
      </c>
      <c r="F525" s="281">
        <f>+(11.5*2+5*2+5.5*2+5*4+4+4.5+9+10+8+4+5+5+2.5+10.5+26+10+2.5+6+8+9+10+12+8+10+10+2.5+5+16+22)*3.8-90</f>
        <v>987.3</v>
      </c>
      <c r="G525" s="229"/>
      <c r="H525" s="235"/>
    </row>
    <row r="526" spans="2:8">
      <c r="B526" s="183" t="s">
        <v>748</v>
      </c>
      <c r="C526" s="198" t="s">
        <v>636</v>
      </c>
      <c r="D526" s="332" t="s">
        <v>637</v>
      </c>
      <c r="E526" s="198" t="s">
        <v>55</v>
      </c>
      <c r="F526" s="287">
        <f>106*2.6</f>
        <v>275.60000000000002</v>
      </c>
      <c r="G526" s="229"/>
      <c r="H526" s="235"/>
    </row>
    <row r="527" spans="2:8">
      <c r="B527" s="183" t="s">
        <v>749</v>
      </c>
      <c r="C527" s="198" t="s">
        <v>624</v>
      </c>
      <c r="D527" s="310" t="s">
        <v>683</v>
      </c>
      <c r="E527" s="198" t="s">
        <v>55</v>
      </c>
      <c r="F527" s="281">
        <f>24*2</f>
        <v>48</v>
      </c>
      <c r="G527" s="229"/>
      <c r="H527" s="235"/>
    </row>
    <row r="528" spans="2:8">
      <c r="B528" s="183" t="s">
        <v>750</v>
      </c>
      <c r="C528" s="198" t="s">
        <v>624</v>
      </c>
      <c r="D528" s="310" t="s">
        <v>730</v>
      </c>
      <c r="E528" s="198" t="s">
        <v>55</v>
      </c>
      <c r="F528" s="281">
        <v>24</v>
      </c>
      <c r="G528" s="229"/>
      <c r="H528" s="235"/>
    </row>
    <row r="529" spans="2:8" ht="25.5">
      <c r="B529" s="183" t="s">
        <v>751</v>
      </c>
      <c r="C529" s="198" t="s">
        <v>642</v>
      </c>
      <c r="D529" s="310" t="s">
        <v>659</v>
      </c>
      <c r="E529" s="188" t="s">
        <v>309</v>
      </c>
      <c r="F529" s="281">
        <v>1</v>
      </c>
      <c r="G529" s="243"/>
      <c r="H529" s="242"/>
    </row>
    <row r="530" spans="2:8">
      <c r="B530" s="183" t="s">
        <v>752</v>
      </c>
      <c r="C530" s="333"/>
      <c r="D530" s="334" t="s">
        <v>286</v>
      </c>
      <c r="E530" s="331"/>
      <c r="F530" s="287"/>
      <c r="G530" s="243"/>
      <c r="H530" s="242"/>
    </row>
    <row r="531" spans="2:8">
      <c r="B531" s="183" t="s">
        <v>753</v>
      </c>
      <c r="C531" s="198" t="s">
        <v>642</v>
      </c>
      <c r="D531" s="332" t="s">
        <v>643</v>
      </c>
      <c r="E531" s="198" t="s">
        <v>55</v>
      </c>
      <c r="F531" s="281">
        <f>+(2+1.5+12+7+1.5+2)*4</f>
        <v>104</v>
      </c>
      <c r="G531" s="229"/>
      <c r="H531" s="235"/>
    </row>
    <row r="532" spans="2:8">
      <c r="B532" s="183" t="s">
        <v>754</v>
      </c>
      <c r="C532" s="198" t="s">
        <v>633</v>
      </c>
      <c r="D532" s="332" t="s">
        <v>634</v>
      </c>
      <c r="E532" s="343" t="s">
        <v>55</v>
      </c>
      <c r="F532" s="281">
        <f>+(11.5*2+5*2+5.5*2+5*4+4+4.5+9+10+8+4+5+5+2.5+10.5+26+10+2.5+6+8+9+10+12+8+10+10+2.5+5+16+22)*3.8-90</f>
        <v>987.3</v>
      </c>
      <c r="G532" s="229"/>
      <c r="H532" s="235"/>
    </row>
    <row r="533" spans="2:8">
      <c r="B533" s="183" t="s">
        <v>755</v>
      </c>
      <c r="C533" s="198" t="s">
        <v>636</v>
      </c>
      <c r="D533" s="332" t="s">
        <v>637</v>
      </c>
      <c r="E533" s="198" t="s">
        <v>55</v>
      </c>
      <c r="F533" s="287">
        <f>106*2.6</f>
        <v>275.60000000000002</v>
      </c>
      <c r="G533" s="229"/>
      <c r="H533" s="235"/>
    </row>
    <row r="534" spans="2:8">
      <c r="B534" s="183" t="s">
        <v>756</v>
      </c>
      <c r="C534" s="198" t="s">
        <v>624</v>
      </c>
      <c r="D534" s="310" t="s">
        <v>683</v>
      </c>
      <c r="E534" s="198" t="s">
        <v>55</v>
      </c>
      <c r="F534" s="281">
        <f>24*2</f>
        <v>48</v>
      </c>
      <c r="G534" s="229"/>
      <c r="H534" s="235"/>
    </row>
    <row r="535" spans="2:8">
      <c r="B535" s="183" t="s">
        <v>757</v>
      </c>
      <c r="C535" s="198" t="s">
        <v>624</v>
      </c>
      <c r="D535" s="310" t="s">
        <v>730</v>
      </c>
      <c r="E535" s="198" t="s">
        <v>55</v>
      </c>
      <c r="F535" s="281">
        <v>24</v>
      </c>
      <c r="G535" s="229"/>
      <c r="H535" s="235"/>
    </row>
    <row r="536" spans="2:8" ht="25.5">
      <c r="B536" s="183" t="s">
        <v>758</v>
      </c>
      <c r="C536" s="198" t="s">
        <v>642</v>
      </c>
      <c r="D536" s="310" t="s">
        <v>659</v>
      </c>
      <c r="E536" s="188" t="s">
        <v>309</v>
      </c>
      <c r="F536" s="281">
        <v>1</v>
      </c>
      <c r="G536" s="243"/>
      <c r="H536" s="242"/>
    </row>
    <row r="537" spans="2:8">
      <c r="B537" s="183" t="s">
        <v>759</v>
      </c>
      <c r="C537" s="333"/>
      <c r="D537" s="334" t="s">
        <v>293</v>
      </c>
      <c r="E537" s="331"/>
      <c r="F537" s="287"/>
      <c r="G537" s="243"/>
      <c r="H537" s="242"/>
    </row>
    <row r="538" spans="2:8">
      <c r="B538" s="183" t="s">
        <v>760</v>
      </c>
      <c r="C538" s="198" t="s">
        <v>642</v>
      </c>
      <c r="D538" s="332" t="s">
        <v>643</v>
      </c>
      <c r="E538" s="198" t="s">
        <v>55</v>
      </c>
      <c r="F538" s="281">
        <f>+(2+1.5+12+7+1.5+2)*4</f>
        <v>104</v>
      </c>
      <c r="G538" s="229"/>
      <c r="H538" s="235"/>
    </row>
    <row r="539" spans="2:8">
      <c r="B539" s="183" t="s">
        <v>761</v>
      </c>
      <c r="C539" s="198" t="s">
        <v>633</v>
      </c>
      <c r="D539" s="332" t="s">
        <v>634</v>
      </c>
      <c r="E539" s="343" t="s">
        <v>55</v>
      </c>
      <c r="F539" s="281">
        <f>+(11.5*2+5*2+5.5*2+5*4+4+4.5+9+10+8+4+5+5+2.5+10.5+26+10+2.5+6+8+9+10+12+8+10+10+2.5+5+16+22)*3.8-90</f>
        <v>987.3</v>
      </c>
      <c r="G539" s="229"/>
      <c r="H539" s="235"/>
    </row>
    <row r="540" spans="2:8">
      <c r="B540" s="183" t="s">
        <v>762</v>
      </c>
      <c r="C540" s="198" t="s">
        <v>636</v>
      </c>
      <c r="D540" s="332" t="s">
        <v>637</v>
      </c>
      <c r="E540" s="198" t="s">
        <v>55</v>
      </c>
      <c r="F540" s="287">
        <f>106*2.6</f>
        <v>275.60000000000002</v>
      </c>
      <c r="G540" s="229"/>
      <c r="H540" s="235"/>
    </row>
    <row r="541" spans="2:8">
      <c r="B541" s="183" t="s">
        <v>763</v>
      </c>
      <c r="C541" s="198" t="s">
        <v>624</v>
      </c>
      <c r="D541" s="310" t="s">
        <v>683</v>
      </c>
      <c r="E541" s="198" t="s">
        <v>55</v>
      </c>
      <c r="F541" s="281">
        <f>24*2</f>
        <v>48</v>
      </c>
      <c r="G541" s="229"/>
      <c r="H541" s="235"/>
    </row>
    <row r="542" spans="2:8">
      <c r="B542" s="183" t="s">
        <v>764</v>
      </c>
      <c r="C542" s="198" t="s">
        <v>624</v>
      </c>
      <c r="D542" s="310" t="s">
        <v>730</v>
      </c>
      <c r="E542" s="198" t="s">
        <v>55</v>
      </c>
      <c r="F542" s="281">
        <v>24</v>
      </c>
      <c r="G542" s="229"/>
      <c r="H542" s="235"/>
    </row>
    <row r="543" spans="2:8" ht="25.5">
      <c r="B543" s="183" t="s">
        <v>765</v>
      </c>
      <c r="C543" s="198" t="s">
        <v>642</v>
      </c>
      <c r="D543" s="310" t="s">
        <v>659</v>
      </c>
      <c r="E543" s="188" t="s">
        <v>309</v>
      </c>
      <c r="F543" s="281">
        <v>1</v>
      </c>
      <c r="G543" s="243"/>
      <c r="H543" s="242"/>
    </row>
    <row r="544" spans="2:8">
      <c r="B544" s="183" t="s">
        <v>766</v>
      </c>
      <c r="C544" s="198"/>
      <c r="D544" s="334" t="s">
        <v>719</v>
      </c>
      <c r="E544" s="331"/>
      <c r="F544" s="287"/>
      <c r="G544" s="243"/>
      <c r="H544" s="242"/>
    </row>
    <row r="545" spans="2:8">
      <c r="B545" s="183" t="s">
        <v>767</v>
      </c>
      <c r="C545" s="198" t="s">
        <v>633</v>
      </c>
      <c r="D545" s="332" t="s">
        <v>634</v>
      </c>
      <c r="E545" s="198" t="s">
        <v>55</v>
      </c>
      <c r="F545" s="281">
        <v>950</v>
      </c>
      <c r="G545" s="229"/>
      <c r="H545" s="235"/>
    </row>
    <row r="546" spans="2:8">
      <c r="B546" s="183" t="s">
        <v>768</v>
      </c>
      <c r="C546" s="198" t="s">
        <v>642</v>
      </c>
      <c r="D546" s="310" t="s">
        <v>643</v>
      </c>
      <c r="E546" s="198" t="s">
        <v>55</v>
      </c>
      <c r="F546" s="281">
        <v>302</v>
      </c>
      <c r="G546" s="229"/>
      <c r="H546" s="235"/>
    </row>
    <row r="547" spans="2:8">
      <c r="B547" s="183" t="s">
        <v>769</v>
      </c>
      <c r="C547" s="198" t="s">
        <v>624</v>
      </c>
      <c r="D547" s="310" t="s">
        <v>770</v>
      </c>
      <c r="E547" s="198" t="s">
        <v>55</v>
      </c>
      <c r="F547" s="281">
        <v>40</v>
      </c>
      <c r="G547" s="229"/>
      <c r="H547" s="235"/>
    </row>
    <row r="548" spans="2:8" ht="15">
      <c r="B548" s="186" t="s">
        <v>771</v>
      </c>
      <c r="C548" s="312"/>
      <c r="D548" s="313" t="s">
        <v>243</v>
      </c>
      <c r="E548" s="314"/>
      <c r="F548" s="283"/>
      <c r="G548" s="233"/>
      <c r="H548" s="234"/>
    </row>
    <row r="549" spans="2:8">
      <c r="B549" s="129" t="s">
        <v>772</v>
      </c>
      <c r="C549" s="333"/>
      <c r="D549" s="340" t="s">
        <v>679</v>
      </c>
      <c r="E549" s="342"/>
      <c r="F549" s="287"/>
      <c r="G549" s="243"/>
      <c r="H549" s="244"/>
    </row>
    <row r="550" spans="2:8">
      <c r="B550" s="129" t="s">
        <v>773</v>
      </c>
      <c r="C550" s="198" t="s">
        <v>642</v>
      </c>
      <c r="D550" s="332" t="s">
        <v>643</v>
      </c>
      <c r="E550" s="198" t="s">
        <v>55</v>
      </c>
      <c r="F550" s="281">
        <v>110</v>
      </c>
      <c r="G550" s="229"/>
      <c r="H550" s="244"/>
    </row>
    <row r="551" spans="2:8">
      <c r="B551" s="129" t="s">
        <v>774</v>
      </c>
      <c r="C551" s="198" t="s">
        <v>633</v>
      </c>
      <c r="D551" s="332" t="s">
        <v>634</v>
      </c>
      <c r="E551" s="343" t="s">
        <v>55</v>
      </c>
      <c r="F551" s="281">
        <v>646</v>
      </c>
      <c r="G551" s="229"/>
      <c r="H551" s="244"/>
    </row>
    <row r="552" spans="2:8">
      <c r="B552" s="129" t="s">
        <v>775</v>
      </c>
      <c r="C552" s="198" t="s">
        <v>624</v>
      </c>
      <c r="D552" s="310" t="s">
        <v>683</v>
      </c>
      <c r="E552" s="198" t="s">
        <v>55</v>
      </c>
      <c r="F552" s="281">
        <v>20</v>
      </c>
      <c r="G552" s="229"/>
      <c r="H552" s="230"/>
    </row>
    <row r="553" spans="2:8" ht="25.5">
      <c r="B553" s="129" t="s">
        <v>776</v>
      </c>
      <c r="C553" s="198" t="s">
        <v>624</v>
      </c>
      <c r="D553" s="310" t="s">
        <v>631</v>
      </c>
      <c r="E553" s="198" t="s">
        <v>55</v>
      </c>
      <c r="F553" s="281">
        <v>120</v>
      </c>
      <c r="G553" s="229"/>
      <c r="H553" s="230"/>
    </row>
    <row r="554" spans="2:8" ht="38.25">
      <c r="B554" s="129" t="s">
        <v>777</v>
      </c>
      <c r="C554" s="198" t="s">
        <v>642</v>
      </c>
      <c r="D554" s="340" t="s">
        <v>648</v>
      </c>
      <c r="E554" s="188" t="s">
        <v>209</v>
      </c>
      <c r="F554" s="281">
        <f>3.2*2*5+7.2*2*6</f>
        <v>118.4</v>
      </c>
      <c r="G554" s="229"/>
      <c r="H554" s="244"/>
    </row>
    <row r="555" spans="2:8">
      <c r="B555" s="129" t="s">
        <v>778</v>
      </c>
      <c r="C555" s="333"/>
      <c r="D555" s="340" t="s">
        <v>264</v>
      </c>
      <c r="E555" s="342"/>
      <c r="F555" s="287"/>
      <c r="G555" s="243"/>
      <c r="H555" s="244"/>
    </row>
    <row r="556" spans="2:8">
      <c r="B556" s="129" t="s">
        <v>779</v>
      </c>
      <c r="C556" s="198" t="s">
        <v>642</v>
      </c>
      <c r="D556" s="332" t="s">
        <v>643</v>
      </c>
      <c r="E556" s="198" t="s">
        <v>55</v>
      </c>
      <c r="F556" s="281">
        <v>110</v>
      </c>
      <c r="G556" s="229"/>
      <c r="H556" s="230"/>
    </row>
    <row r="557" spans="2:8">
      <c r="B557" s="129" t="s">
        <v>780</v>
      </c>
      <c r="C557" s="198" t="s">
        <v>633</v>
      </c>
      <c r="D557" s="332" t="s">
        <v>634</v>
      </c>
      <c r="E557" s="343" t="s">
        <v>55</v>
      </c>
      <c r="F557" s="281">
        <v>355</v>
      </c>
      <c r="G557" s="229"/>
      <c r="H557" s="230"/>
    </row>
    <row r="558" spans="2:8">
      <c r="B558" s="129" t="s">
        <v>781</v>
      </c>
      <c r="C558" s="198" t="s">
        <v>624</v>
      </c>
      <c r="D558" s="310" t="s">
        <v>683</v>
      </c>
      <c r="E558" s="198" t="s">
        <v>55</v>
      </c>
      <c r="F558" s="281">
        <v>40</v>
      </c>
      <c r="G558" s="229"/>
      <c r="H558" s="230"/>
    </row>
    <row r="559" spans="2:8" ht="25.5">
      <c r="B559" s="129" t="s">
        <v>782</v>
      </c>
      <c r="C559" s="198" t="s">
        <v>624</v>
      </c>
      <c r="D559" s="310" t="s">
        <v>631</v>
      </c>
      <c r="E559" s="198" t="s">
        <v>55</v>
      </c>
      <c r="F559" s="281">
        <v>120</v>
      </c>
      <c r="G559" s="229"/>
      <c r="H559" s="230"/>
    </row>
    <row r="560" spans="2:8" ht="38.25">
      <c r="B560" s="129" t="s">
        <v>783</v>
      </c>
      <c r="C560" s="198" t="s">
        <v>642</v>
      </c>
      <c r="D560" s="340" t="s">
        <v>648</v>
      </c>
      <c r="E560" s="188" t="s">
        <v>209</v>
      </c>
      <c r="F560" s="281">
        <f>3.2*2*5+7.2*2*6</f>
        <v>118.4</v>
      </c>
      <c r="G560" s="229"/>
      <c r="H560" s="230"/>
    </row>
    <row r="561" spans="2:8">
      <c r="B561" s="129" t="s">
        <v>784</v>
      </c>
      <c r="C561" s="333"/>
      <c r="D561" s="340" t="s">
        <v>272</v>
      </c>
      <c r="E561" s="342"/>
      <c r="F561" s="287"/>
      <c r="G561" s="243"/>
      <c r="H561" s="244"/>
    </row>
    <row r="562" spans="2:8">
      <c r="B562" s="129" t="s">
        <v>785</v>
      </c>
      <c r="C562" s="198" t="s">
        <v>642</v>
      </c>
      <c r="D562" s="332" t="s">
        <v>643</v>
      </c>
      <c r="E562" s="198" t="s">
        <v>55</v>
      </c>
      <c r="F562" s="281">
        <v>110</v>
      </c>
      <c r="G562" s="229"/>
      <c r="H562" s="230"/>
    </row>
    <row r="563" spans="2:8">
      <c r="B563" s="129" t="s">
        <v>786</v>
      </c>
      <c r="C563" s="198" t="s">
        <v>633</v>
      </c>
      <c r="D563" s="332" t="s">
        <v>634</v>
      </c>
      <c r="E563" s="343" t="s">
        <v>55</v>
      </c>
      <c r="F563" s="281">
        <v>355</v>
      </c>
      <c r="G563" s="229"/>
      <c r="H563" s="230"/>
    </row>
    <row r="564" spans="2:8">
      <c r="B564" s="129" t="s">
        <v>787</v>
      </c>
      <c r="C564" s="198" t="s">
        <v>624</v>
      </c>
      <c r="D564" s="310" t="s">
        <v>683</v>
      </c>
      <c r="E564" s="198" t="s">
        <v>55</v>
      </c>
      <c r="F564" s="281">
        <v>40</v>
      </c>
      <c r="G564" s="229"/>
      <c r="H564" s="230"/>
    </row>
    <row r="565" spans="2:8" ht="25.5">
      <c r="B565" s="129" t="s">
        <v>788</v>
      </c>
      <c r="C565" s="198" t="s">
        <v>624</v>
      </c>
      <c r="D565" s="310" t="s">
        <v>631</v>
      </c>
      <c r="E565" s="198" t="s">
        <v>55</v>
      </c>
      <c r="F565" s="281">
        <v>120</v>
      </c>
      <c r="G565" s="229"/>
      <c r="H565" s="230"/>
    </row>
    <row r="566" spans="2:8" ht="38.25">
      <c r="B566" s="129" t="s">
        <v>789</v>
      </c>
      <c r="C566" s="198" t="s">
        <v>642</v>
      </c>
      <c r="D566" s="340" t="s">
        <v>648</v>
      </c>
      <c r="E566" s="188" t="s">
        <v>209</v>
      </c>
      <c r="F566" s="281">
        <f>3.2*2*5+7.2*2*8</f>
        <v>147.19999999999999</v>
      </c>
      <c r="G566" s="229"/>
      <c r="H566" s="230"/>
    </row>
    <row r="567" spans="2:8">
      <c r="B567" s="129" t="s">
        <v>790</v>
      </c>
      <c r="C567" s="333"/>
      <c r="D567" s="340" t="s">
        <v>279</v>
      </c>
      <c r="E567" s="342"/>
      <c r="F567" s="287"/>
      <c r="G567" s="243"/>
      <c r="H567" s="244"/>
    </row>
    <row r="568" spans="2:8">
      <c r="B568" s="129" t="s">
        <v>791</v>
      </c>
      <c r="C568" s="198" t="s">
        <v>642</v>
      </c>
      <c r="D568" s="332" t="s">
        <v>643</v>
      </c>
      <c r="E568" s="198" t="s">
        <v>55</v>
      </c>
      <c r="F568" s="281">
        <v>110</v>
      </c>
      <c r="G568" s="229"/>
      <c r="H568" s="230"/>
    </row>
    <row r="569" spans="2:8">
      <c r="B569" s="129" t="s">
        <v>792</v>
      </c>
      <c r="C569" s="198" t="s">
        <v>633</v>
      </c>
      <c r="D569" s="332" t="s">
        <v>634</v>
      </c>
      <c r="E569" s="343" t="s">
        <v>55</v>
      </c>
      <c r="F569" s="281">
        <v>355</v>
      </c>
      <c r="G569" s="229"/>
      <c r="H569" s="230"/>
    </row>
    <row r="570" spans="2:8">
      <c r="B570" s="129" t="s">
        <v>793</v>
      </c>
      <c r="C570" s="198" t="s">
        <v>624</v>
      </c>
      <c r="D570" s="310" t="s">
        <v>683</v>
      </c>
      <c r="E570" s="198" t="s">
        <v>55</v>
      </c>
      <c r="F570" s="281">
        <v>20</v>
      </c>
      <c r="G570" s="229"/>
      <c r="H570" s="230"/>
    </row>
    <row r="571" spans="2:8" ht="25.5">
      <c r="B571" s="129" t="s">
        <v>794</v>
      </c>
      <c r="C571" s="198" t="s">
        <v>624</v>
      </c>
      <c r="D571" s="310" t="s">
        <v>631</v>
      </c>
      <c r="E571" s="198" t="s">
        <v>55</v>
      </c>
      <c r="F571" s="281">
        <v>120</v>
      </c>
      <c r="G571" s="229"/>
      <c r="H571" s="230"/>
    </row>
    <row r="572" spans="2:8" ht="38.25">
      <c r="B572" s="129" t="s">
        <v>795</v>
      </c>
      <c r="C572" s="198" t="s">
        <v>642</v>
      </c>
      <c r="D572" s="340" t="s">
        <v>648</v>
      </c>
      <c r="E572" s="188" t="s">
        <v>209</v>
      </c>
      <c r="F572" s="281">
        <f>3.2*2*5+7.2*2*8</f>
        <v>147.19999999999999</v>
      </c>
      <c r="G572" s="229"/>
      <c r="H572" s="230"/>
    </row>
    <row r="573" spans="2:8">
      <c r="B573" s="129" t="s">
        <v>796</v>
      </c>
      <c r="C573" s="333"/>
      <c r="D573" s="340" t="s">
        <v>380</v>
      </c>
      <c r="E573" s="342"/>
      <c r="F573" s="287"/>
      <c r="G573" s="243"/>
      <c r="H573" s="244"/>
    </row>
    <row r="574" spans="2:8">
      <c r="B574" s="129" t="s">
        <v>797</v>
      </c>
      <c r="C574" s="198" t="s">
        <v>642</v>
      </c>
      <c r="D574" s="332" t="s">
        <v>643</v>
      </c>
      <c r="E574" s="198" t="s">
        <v>55</v>
      </c>
      <c r="F574" s="281">
        <v>300</v>
      </c>
      <c r="G574" s="229"/>
      <c r="H574" s="230"/>
    </row>
    <row r="575" spans="2:8">
      <c r="B575" s="129" t="s">
        <v>798</v>
      </c>
      <c r="C575" s="198" t="s">
        <v>633</v>
      </c>
      <c r="D575" s="332" t="s">
        <v>634</v>
      </c>
      <c r="E575" s="343" t="s">
        <v>55</v>
      </c>
      <c r="F575" s="281">
        <v>350</v>
      </c>
      <c r="G575" s="229"/>
      <c r="H575" s="230"/>
    </row>
    <row r="576" spans="2:8" ht="15">
      <c r="B576" s="186" t="s">
        <v>799</v>
      </c>
      <c r="C576" s="312"/>
      <c r="D576" s="313" t="s">
        <v>112</v>
      </c>
      <c r="E576" s="314"/>
      <c r="F576" s="283"/>
      <c r="G576" s="233"/>
      <c r="H576" s="234"/>
    </row>
    <row r="577" spans="2:8">
      <c r="B577" s="183" t="s">
        <v>800</v>
      </c>
      <c r="C577" s="333"/>
      <c r="D577" s="334" t="s">
        <v>801</v>
      </c>
      <c r="E577" s="331"/>
      <c r="F577" s="291"/>
      <c r="G577" s="243"/>
      <c r="H577" s="242"/>
    </row>
    <row r="578" spans="2:8" ht="25.5">
      <c r="B578" s="183" t="s">
        <v>802</v>
      </c>
      <c r="C578" s="198" t="s">
        <v>624</v>
      </c>
      <c r="D578" s="310" t="s">
        <v>625</v>
      </c>
      <c r="E578" s="198" t="s">
        <v>55</v>
      </c>
      <c r="F578" s="291">
        <f>15.5*7.3+14.5*6.8+2*6.8+15*(7.3+3.8)/2+4.7*3.8+13*1.2+3.7*7.5</f>
        <v>369.81000000000006</v>
      </c>
      <c r="G578" s="229"/>
      <c r="H578" s="242"/>
    </row>
    <row r="579" spans="2:8" ht="25.5">
      <c r="B579" s="183" t="s">
        <v>803</v>
      </c>
      <c r="C579" s="198" t="s">
        <v>633</v>
      </c>
      <c r="D579" s="310" t="s">
        <v>804</v>
      </c>
      <c r="E579" s="198" t="s">
        <v>55</v>
      </c>
      <c r="F579" s="291">
        <f>13*2.8</f>
        <v>36.4</v>
      </c>
      <c r="G579" s="229"/>
      <c r="H579" s="242"/>
    </row>
    <row r="580" spans="2:8">
      <c r="B580" s="183" t="s">
        <v>805</v>
      </c>
      <c r="C580" s="198" t="s">
        <v>642</v>
      </c>
      <c r="D580" s="332" t="s">
        <v>643</v>
      </c>
      <c r="E580" s="198" t="s">
        <v>55</v>
      </c>
      <c r="F580" s="281">
        <v>266</v>
      </c>
      <c r="G580" s="229"/>
      <c r="H580" s="235"/>
    </row>
    <row r="581" spans="2:8">
      <c r="B581" s="183" t="s">
        <v>806</v>
      </c>
      <c r="C581" s="198" t="s">
        <v>633</v>
      </c>
      <c r="D581" s="332" t="s">
        <v>634</v>
      </c>
      <c r="E581" s="198" t="s">
        <v>55</v>
      </c>
      <c r="F581" s="281">
        <v>968</v>
      </c>
      <c r="G581" s="229"/>
      <c r="H581" s="235"/>
    </row>
    <row r="582" spans="2:8">
      <c r="B582" s="183" t="s">
        <v>807</v>
      </c>
      <c r="C582" s="198" t="s">
        <v>636</v>
      </c>
      <c r="D582" s="332" t="s">
        <v>637</v>
      </c>
      <c r="E582" s="198" t="s">
        <v>55</v>
      </c>
      <c r="F582" s="281">
        <v>106.4</v>
      </c>
      <c r="G582" s="229"/>
      <c r="H582" s="235"/>
    </row>
    <row r="583" spans="2:8">
      <c r="B583" s="183" t="s">
        <v>808</v>
      </c>
      <c r="C583" s="198" t="s">
        <v>624</v>
      </c>
      <c r="D583" s="310" t="s">
        <v>683</v>
      </c>
      <c r="E583" s="198" t="s">
        <v>55</v>
      </c>
      <c r="F583" s="281">
        <v>182</v>
      </c>
      <c r="G583" s="229"/>
      <c r="H583" s="235"/>
    </row>
    <row r="584" spans="2:8">
      <c r="B584" s="183" t="s">
        <v>809</v>
      </c>
      <c r="C584" s="326" t="s">
        <v>624</v>
      </c>
      <c r="D584" s="344" t="s">
        <v>730</v>
      </c>
      <c r="E584" s="326" t="s">
        <v>55</v>
      </c>
      <c r="F584" s="281">
        <v>96</v>
      </c>
      <c r="G584" s="229"/>
      <c r="H584" s="235"/>
    </row>
    <row r="585" spans="2:8">
      <c r="B585" s="183" t="s">
        <v>810</v>
      </c>
      <c r="C585" s="333"/>
      <c r="D585" s="334" t="s">
        <v>398</v>
      </c>
      <c r="E585" s="331"/>
      <c r="F585" s="291"/>
      <c r="G585" s="243"/>
      <c r="H585" s="242"/>
    </row>
    <row r="586" spans="2:8">
      <c r="B586" s="183" t="s">
        <v>811</v>
      </c>
      <c r="C586" s="198" t="s">
        <v>642</v>
      </c>
      <c r="D586" s="332" t="s">
        <v>643</v>
      </c>
      <c r="E586" s="198" t="s">
        <v>55</v>
      </c>
      <c r="F586" s="281">
        <v>144</v>
      </c>
      <c r="G586" s="229"/>
      <c r="H586" s="235"/>
    </row>
    <row r="587" spans="2:8">
      <c r="B587" s="183" t="s">
        <v>812</v>
      </c>
      <c r="C587" s="198" t="s">
        <v>633</v>
      </c>
      <c r="D587" s="332" t="s">
        <v>634</v>
      </c>
      <c r="E587" s="198" t="s">
        <v>55</v>
      </c>
      <c r="F587" s="281">
        <v>344</v>
      </c>
      <c r="G587" s="229"/>
      <c r="H587" s="235"/>
    </row>
    <row r="588" spans="2:8">
      <c r="B588" s="183" t="s">
        <v>813</v>
      </c>
      <c r="C588" s="198" t="s">
        <v>636</v>
      </c>
      <c r="D588" s="332" t="s">
        <v>637</v>
      </c>
      <c r="E588" s="198" t="s">
        <v>55</v>
      </c>
      <c r="F588" s="281">
        <v>98</v>
      </c>
      <c r="G588" s="229"/>
      <c r="H588" s="235"/>
    </row>
    <row r="589" spans="2:8">
      <c r="B589" s="183" t="s">
        <v>814</v>
      </c>
      <c r="C589" s="198" t="s">
        <v>624</v>
      </c>
      <c r="D589" s="310" t="s">
        <v>683</v>
      </c>
      <c r="E589" s="198" t="s">
        <v>55</v>
      </c>
      <c r="F589" s="281">
        <v>372</v>
      </c>
      <c r="G589" s="229"/>
      <c r="H589" s="235"/>
    </row>
    <row r="590" spans="2:8">
      <c r="B590" s="183" t="s">
        <v>815</v>
      </c>
      <c r="C590" s="326" t="s">
        <v>624</v>
      </c>
      <c r="D590" s="344" t="s">
        <v>730</v>
      </c>
      <c r="E590" s="326" t="s">
        <v>55</v>
      </c>
      <c r="F590" s="281">
        <v>84</v>
      </c>
      <c r="G590" s="229"/>
      <c r="H590" s="235"/>
    </row>
    <row r="591" spans="2:8" ht="14.25">
      <c r="B591" s="186" t="s">
        <v>816</v>
      </c>
      <c r="C591" s="323"/>
      <c r="D591" s="324" t="s">
        <v>407</v>
      </c>
      <c r="E591" s="325"/>
      <c r="F591" s="286"/>
      <c r="G591" s="238"/>
      <c r="H591" s="239"/>
    </row>
    <row r="592" spans="2:8">
      <c r="B592" s="183" t="s">
        <v>817</v>
      </c>
      <c r="C592" s="198"/>
      <c r="D592" s="332" t="s">
        <v>818</v>
      </c>
      <c r="E592" s="198"/>
      <c r="F592" s="281"/>
      <c r="G592" s="229"/>
      <c r="H592" s="235"/>
    </row>
    <row r="593" spans="2:8">
      <c r="B593" s="183" t="s">
        <v>819</v>
      </c>
      <c r="C593" s="198" t="s">
        <v>642</v>
      </c>
      <c r="D593" s="332" t="s">
        <v>643</v>
      </c>
      <c r="E593" s="198" t="s">
        <v>55</v>
      </c>
      <c r="F593" s="281">
        <v>308</v>
      </c>
      <c r="G593" s="229"/>
      <c r="H593" s="235"/>
    </row>
    <row r="594" spans="2:8">
      <c r="B594" s="183" t="s">
        <v>820</v>
      </c>
      <c r="C594" s="198" t="s">
        <v>633</v>
      </c>
      <c r="D594" s="332" t="s">
        <v>634</v>
      </c>
      <c r="E594" s="198" t="s">
        <v>55</v>
      </c>
      <c r="F594" s="281">
        <v>576</v>
      </c>
      <c r="G594" s="229"/>
      <c r="H594" s="235"/>
    </row>
    <row r="595" spans="2:8">
      <c r="B595" s="183" t="s">
        <v>821</v>
      </c>
      <c r="C595" s="198" t="s">
        <v>636</v>
      </c>
      <c r="D595" s="332" t="s">
        <v>637</v>
      </c>
      <c r="E595" s="198" t="s">
        <v>55</v>
      </c>
      <c r="F595" s="281">
        <v>54.4</v>
      </c>
      <c r="G595" s="229"/>
      <c r="H595" s="235"/>
    </row>
    <row r="596" spans="2:8">
      <c r="B596" s="183" t="s">
        <v>822</v>
      </c>
      <c r="C596" s="198" t="s">
        <v>624</v>
      </c>
      <c r="D596" s="310" t="s">
        <v>823</v>
      </c>
      <c r="E596" s="198" t="s">
        <v>55</v>
      </c>
      <c r="F596" s="281">
        <v>112</v>
      </c>
      <c r="G596" s="229"/>
      <c r="H596" s="235"/>
    </row>
    <row r="597" spans="2:8">
      <c r="B597" s="183" t="s">
        <v>824</v>
      </c>
      <c r="C597" s="326" t="s">
        <v>624</v>
      </c>
      <c r="D597" s="344" t="s">
        <v>730</v>
      </c>
      <c r="E597" s="326" t="s">
        <v>55</v>
      </c>
      <c r="F597" s="281">
        <v>27</v>
      </c>
      <c r="G597" s="229"/>
      <c r="H597" s="235"/>
    </row>
    <row r="598" spans="2:8">
      <c r="B598" s="183" t="s">
        <v>825</v>
      </c>
      <c r="C598" s="198"/>
      <c r="D598" s="332" t="s">
        <v>607</v>
      </c>
      <c r="E598" s="198"/>
      <c r="F598" s="281"/>
      <c r="G598" s="229"/>
      <c r="H598" s="235"/>
    </row>
    <row r="599" spans="2:8">
      <c r="B599" s="183" t="s">
        <v>826</v>
      </c>
      <c r="C599" s="198" t="s">
        <v>642</v>
      </c>
      <c r="D599" s="332" t="s">
        <v>643</v>
      </c>
      <c r="E599" s="198" t="s">
        <v>55</v>
      </c>
      <c r="F599" s="281">
        <f>16*4*2+6*4</f>
        <v>152</v>
      </c>
      <c r="G599" s="229"/>
      <c r="H599" s="235"/>
    </row>
    <row r="600" spans="2:8">
      <c r="B600" s="183" t="s">
        <v>827</v>
      </c>
      <c r="C600" s="198" t="s">
        <v>633</v>
      </c>
      <c r="D600" s="332" t="s">
        <v>634</v>
      </c>
      <c r="E600" s="198" t="s">
        <v>55</v>
      </c>
      <c r="F600" s="281">
        <f>15.2*4*2+5.3*4*3+12*4+2.2*2*4</f>
        <v>250.79999999999998</v>
      </c>
      <c r="G600" s="229"/>
      <c r="H600" s="235"/>
    </row>
    <row r="601" spans="2:8">
      <c r="B601" s="183" t="s">
        <v>828</v>
      </c>
      <c r="C601" s="198" t="s">
        <v>636</v>
      </c>
      <c r="D601" s="332" t="s">
        <v>637</v>
      </c>
      <c r="E601" s="198" t="s">
        <v>55</v>
      </c>
      <c r="F601" s="281">
        <f>5.3*4*4+5.2*4+2*4</f>
        <v>113.6</v>
      </c>
      <c r="G601" s="229"/>
      <c r="H601" s="235"/>
    </row>
    <row r="602" spans="2:8" ht="25.5">
      <c r="B602" s="183" t="s">
        <v>829</v>
      </c>
      <c r="C602" s="198" t="s">
        <v>624</v>
      </c>
      <c r="D602" s="310" t="s">
        <v>625</v>
      </c>
      <c r="E602" s="198" t="s">
        <v>55</v>
      </c>
      <c r="F602" s="281">
        <f>6*4</f>
        <v>24</v>
      </c>
      <c r="G602" s="229"/>
      <c r="H602" s="235"/>
    </row>
    <row r="603" spans="2:8">
      <c r="B603" s="183" t="s">
        <v>830</v>
      </c>
      <c r="C603" s="198" t="s">
        <v>624</v>
      </c>
      <c r="D603" s="310" t="s">
        <v>831</v>
      </c>
      <c r="E603" s="198" t="s">
        <v>55</v>
      </c>
      <c r="F603" s="281">
        <f>12.6*6+(0.5+0.2+0.4)*(15.6*2+6)</f>
        <v>116.52000000000001</v>
      </c>
      <c r="G603" s="229"/>
      <c r="H603" s="235"/>
    </row>
    <row r="604" spans="2:8">
      <c r="B604" s="183" t="s">
        <v>832</v>
      </c>
      <c r="C604" s="198"/>
      <c r="D604" s="332" t="s">
        <v>419</v>
      </c>
      <c r="E604" s="198"/>
      <c r="F604" s="281"/>
      <c r="G604" s="229"/>
      <c r="H604" s="235"/>
    </row>
    <row r="605" spans="2:8">
      <c r="B605" s="183" t="s">
        <v>833</v>
      </c>
      <c r="C605" s="198" t="s">
        <v>642</v>
      </c>
      <c r="D605" s="332" t="s">
        <v>643</v>
      </c>
      <c r="E605" s="198" t="s">
        <v>55</v>
      </c>
      <c r="F605" s="281">
        <f>16*3</f>
        <v>48</v>
      </c>
      <c r="G605" s="229"/>
      <c r="H605" s="235"/>
    </row>
    <row r="606" spans="2:8">
      <c r="B606" s="183" t="s">
        <v>834</v>
      </c>
      <c r="C606" s="198" t="s">
        <v>633</v>
      </c>
      <c r="D606" s="332" t="s">
        <v>634</v>
      </c>
      <c r="E606" s="198" t="s">
        <v>55</v>
      </c>
      <c r="F606" s="281">
        <f>+(4-0.6)*4*2.8</f>
        <v>38.08</v>
      </c>
      <c r="G606" s="229"/>
      <c r="H606" s="235"/>
    </row>
    <row r="607" spans="2:8" ht="13.5" thickBot="1">
      <c r="B607" s="183" t="s">
        <v>835</v>
      </c>
      <c r="C607" s="198" t="s">
        <v>624</v>
      </c>
      <c r="D607" s="310" t="s">
        <v>831</v>
      </c>
      <c r="E607" s="198" t="s">
        <v>55</v>
      </c>
      <c r="F607" s="281">
        <f>3.4*3+0.4*4*4</f>
        <v>16.600000000000001</v>
      </c>
      <c r="G607" s="229"/>
      <c r="H607" s="235"/>
    </row>
    <row r="608" spans="2:8" ht="16.5" thickBot="1">
      <c r="B608" s="479" t="s">
        <v>836</v>
      </c>
      <c r="C608" s="480" t="s">
        <v>837</v>
      </c>
      <c r="D608" s="481" t="s">
        <v>838</v>
      </c>
      <c r="E608" s="482"/>
      <c r="F608" s="483"/>
      <c r="G608" s="493"/>
      <c r="H608" s="280"/>
    </row>
    <row r="609" spans="2:8" ht="14.25">
      <c r="B609" s="486" t="s">
        <v>839</v>
      </c>
      <c r="C609" s="505"/>
      <c r="D609" s="474" t="s">
        <v>133</v>
      </c>
      <c r="E609" s="475"/>
      <c r="F609" s="476"/>
      <c r="G609" s="477"/>
      <c r="H609" s="478"/>
    </row>
    <row r="610" spans="2:8">
      <c r="B610" s="129" t="s">
        <v>840</v>
      </c>
      <c r="C610" s="198" t="s">
        <v>841</v>
      </c>
      <c r="D610" s="310" t="s">
        <v>842</v>
      </c>
      <c r="E610" s="198" t="s">
        <v>55</v>
      </c>
      <c r="F610" s="281">
        <v>320</v>
      </c>
      <c r="G610" s="229"/>
      <c r="H610" s="230"/>
    </row>
    <row r="611" spans="2:8">
      <c r="B611" s="129" t="s">
        <v>843</v>
      </c>
      <c r="C611" s="198" t="s">
        <v>844</v>
      </c>
      <c r="D611" s="310" t="s">
        <v>845</v>
      </c>
      <c r="E611" s="198" t="s">
        <v>55</v>
      </c>
      <c r="F611" s="281">
        <v>230</v>
      </c>
      <c r="G611" s="229"/>
      <c r="H611" s="230"/>
    </row>
    <row r="612" spans="2:8" ht="14.25">
      <c r="B612" s="186" t="s">
        <v>846</v>
      </c>
      <c r="C612" s="323"/>
      <c r="D612" s="313" t="s">
        <v>222</v>
      </c>
      <c r="E612" s="325"/>
      <c r="F612" s="286"/>
      <c r="G612" s="238"/>
      <c r="H612" s="239"/>
    </row>
    <row r="613" spans="2:8">
      <c r="B613" s="129" t="s">
        <v>847</v>
      </c>
      <c r="C613" s="198"/>
      <c r="D613" s="345" t="s">
        <v>224</v>
      </c>
      <c r="E613" s="342"/>
      <c r="F613" s="287"/>
      <c r="G613" s="243"/>
      <c r="H613" s="244"/>
    </row>
    <row r="614" spans="2:8" ht="25.5">
      <c r="B614" s="129" t="s">
        <v>848</v>
      </c>
      <c r="C614" s="198" t="s">
        <v>844</v>
      </c>
      <c r="D614" s="310" t="s">
        <v>849</v>
      </c>
      <c r="E614" s="198" t="s">
        <v>55</v>
      </c>
      <c r="F614" s="281">
        <f>930-8</f>
        <v>922</v>
      </c>
      <c r="G614" s="229"/>
      <c r="H614" s="230"/>
    </row>
    <row r="615" spans="2:8" ht="25.5">
      <c r="B615" s="129" t="s">
        <v>850</v>
      </c>
      <c r="C615" s="198" t="s">
        <v>844</v>
      </c>
      <c r="D615" s="310" t="s">
        <v>851</v>
      </c>
      <c r="E615" s="198" t="s">
        <v>55</v>
      </c>
      <c r="F615" s="281">
        <v>8</v>
      </c>
      <c r="G615" s="229"/>
      <c r="H615" s="230"/>
    </row>
    <row r="616" spans="2:8">
      <c r="B616" s="199" t="s">
        <v>852</v>
      </c>
      <c r="C616" s="200"/>
      <c r="D616" s="336" t="s">
        <v>236</v>
      </c>
      <c r="E616" s="201"/>
      <c r="F616" s="294"/>
      <c r="G616" s="247"/>
      <c r="H616" s="248"/>
    </row>
    <row r="617" spans="2:8" ht="25.5">
      <c r="B617" s="199" t="s">
        <v>853</v>
      </c>
      <c r="C617" s="198" t="s">
        <v>844</v>
      </c>
      <c r="D617" s="310" t="s">
        <v>854</v>
      </c>
      <c r="E617" s="198" t="s">
        <v>55</v>
      </c>
      <c r="F617" s="281">
        <f>322+40</f>
        <v>362</v>
      </c>
      <c r="G617" s="229"/>
      <c r="H617" s="230"/>
    </row>
    <row r="618" spans="2:8" ht="25.5">
      <c r="B618" s="199" t="s">
        <v>855</v>
      </c>
      <c r="C618" s="198" t="s">
        <v>844</v>
      </c>
      <c r="D618" s="310" t="s">
        <v>851</v>
      </c>
      <c r="E618" s="198" t="s">
        <v>55</v>
      </c>
      <c r="F618" s="281">
        <v>58</v>
      </c>
      <c r="G618" s="229"/>
      <c r="H618" s="230"/>
    </row>
    <row r="619" spans="2:8">
      <c r="B619" s="199" t="s">
        <v>856</v>
      </c>
      <c r="C619" s="200"/>
      <c r="D619" s="336" t="s">
        <v>243</v>
      </c>
      <c r="E619" s="201"/>
      <c r="F619" s="294"/>
      <c r="G619" s="247"/>
      <c r="H619" s="248"/>
    </row>
    <row r="620" spans="2:8" ht="25.5">
      <c r="B620" s="199" t="s">
        <v>857</v>
      </c>
      <c r="C620" s="198" t="s">
        <v>844</v>
      </c>
      <c r="D620" s="310" t="s">
        <v>849</v>
      </c>
      <c r="E620" s="198" t="s">
        <v>55</v>
      </c>
      <c r="F620" s="281">
        <v>660</v>
      </c>
      <c r="G620" s="229"/>
      <c r="H620" s="230"/>
    </row>
    <row r="621" spans="2:8" ht="25.5">
      <c r="B621" s="199" t="s">
        <v>858</v>
      </c>
      <c r="C621" s="198" t="s">
        <v>844</v>
      </c>
      <c r="D621" s="310" t="s">
        <v>851</v>
      </c>
      <c r="E621" s="198" t="s">
        <v>55</v>
      </c>
      <c r="F621" s="281">
        <v>10</v>
      </c>
      <c r="G621" s="229"/>
      <c r="H621" s="230"/>
    </row>
    <row r="622" spans="2:8">
      <c r="B622" s="199" t="s">
        <v>859</v>
      </c>
      <c r="C622" s="341"/>
      <c r="D622" s="336" t="s">
        <v>860</v>
      </c>
      <c r="E622" s="201"/>
      <c r="F622" s="294"/>
      <c r="G622" s="247"/>
      <c r="H622" s="248"/>
    </row>
    <row r="623" spans="2:8">
      <c r="B623" s="199" t="s">
        <v>861</v>
      </c>
      <c r="C623" s="198" t="s">
        <v>841</v>
      </c>
      <c r="D623" s="310" t="s">
        <v>842</v>
      </c>
      <c r="E623" s="198" t="s">
        <v>55</v>
      </c>
      <c r="F623" s="281">
        <v>2200</v>
      </c>
      <c r="G623" s="229"/>
      <c r="H623" s="230"/>
    </row>
    <row r="624" spans="2:8">
      <c r="B624" s="199" t="s">
        <v>862</v>
      </c>
      <c r="C624" s="198" t="s">
        <v>844</v>
      </c>
      <c r="D624" s="310" t="s">
        <v>863</v>
      </c>
      <c r="E624" s="198" t="s">
        <v>55</v>
      </c>
      <c r="F624" s="281">
        <f>50+140+45</f>
        <v>235</v>
      </c>
      <c r="G624" s="229"/>
      <c r="H624" s="230"/>
    </row>
    <row r="625" spans="2:8" ht="14.25">
      <c r="B625" s="186" t="s">
        <v>864</v>
      </c>
      <c r="C625" s="323"/>
      <c r="D625" s="324" t="s">
        <v>224</v>
      </c>
      <c r="E625" s="325"/>
      <c r="F625" s="286"/>
      <c r="G625" s="238"/>
      <c r="H625" s="239"/>
    </row>
    <row r="626" spans="2:8">
      <c r="B626" s="202" t="s">
        <v>865</v>
      </c>
      <c r="C626" s="346"/>
      <c r="D626" s="347" t="s">
        <v>679</v>
      </c>
      <c r="E626" s="348"/>
      <c r="F626" s="298"/>
      <c r="G626" s="252"/>
      <c r="H626" s="253"/>
    </row>
    <row r="627" spans="2:8">
      <c r="B627" s="202" t="s">
        <v>866</v>
      </c>
      <c r="C627" s="203" t="s">
        <v>844</v>
      </c>
      <c r="D627" s="349" t="s">
        <v>867</v>
      </c>
      <c r="E627" s="203" t="s">
        <v>55</v>
      </c>
      <c r="F627" s="299">
        <f>4+404+328+20</f>
        <v>756</v>
      </c>
      <c r="G627" s="254"/>
      <c r="H627" s="255"/>
    </row>
    <row r="628" spans="2:8">
      <c r="B628" s="202" t="s">
        <v>868</v>
      </c>
      <c r="C628" s="346"/>
      <c r="D628" s="347" t="s">
        <v>264</v>
      </c>
      <c r="E628" s="348"/>
      <c r="F628" s="298"/>
      <c r="G628" s="252"/>
      <c r="H628" s="253"/>
    </row>
    <row r="629" spans="2:8">
      <c r="B629" s="202" t="s">
        <v>869</v>
      </c>
      <c r="C629" s="203" t="s">
        <v>844</v>
      </c>
      <c r="D629" s="349" t="s">
        <v>867</v>
      </c>
      <c r="E629" s="203" t="s">
        <v>55</v>
      </c>
      <c r="F629" s="299">
        <f>620+20</f>
        <v>640</v>
      </c>
      <c r="G629" s="256"/>
      <c r="H629" s="257"/>
    </row>
    <row r="630" spans="2:8">
      <c r="B630" s="202" t="s">
        <v>870</v>
      </c>
      <c r="C630" s="346"/>
      <c r="D630" s="347" t="s">
        <v>272</v>
      </c>
      <c r="E630" s="348"/>
      <c r="F630" s="298"/>
      <c r="G630" s="252"/>
      <c r="H630" s="258"/>
    </row>
    <row r="631" spans="2:8">
      <c r="B631" s="202" t="s">
        <v>871</v>
      </c>
      <c r="C631" s="203" t="s">
        <v>844</v>
      </c>
      <c r="D631" s="349" t="s">
        <v>867</v>
      </c>
      <c r="E631" s="203" t="s">
        <v>55</v>
      </c>
      <c r="F631" s="299">
        <f>624+20</f>
        <v>644</v>
      </c>
      <c r="G631" s="254"/>
      <c r="H631" s="257"/>
    </row>
    <row r="632" spans="2:8">
      <c r="B632" s="202" t="s">
        <v>872</v>
      </c>
      <c r="C632" s="346"/>
      <c r="D632" s="347" t="s">
        <v>279</v>
      </c>
      <c r="E632" s="348"/>
      <c r="F632" s="298"/>
      <c r="G632" s="252"/>
      <c r="H632" s="253"/>
    </row>
    <row r="633" spans="2:8">
      <c r="B633" s="202" t="s">
        <v>873</v>
      </c>
      <c r="C633" s="203" t="s">
        <v>844</v>
      </c>
      <c r="D633" s="349" t="s">
        <v>867</v>
      </c>
      <c r="E633" s="203" t="s">
        <v>55</v>
      </c>
      <c r="F633" s="299">
        <f>624+20</f>
        <v>644</v>
      </c>
      <c r="G633" s="254"/>
      <c r="H633" s="255"/>
    </row>
    <row r="634" spans="2:8">
      <c r="B634" s="202" t="s">
        <v>874</v>
      </c>
      <c r="C634" s="346"/>
      <c r="D634" s="347" t="s">
        <v>286</v>
      </c>
      <c r="E634" s="348"/>
      <c r="F634" s="298"/>
      <c r="G634" s="252"/>
      <c r="H634" s="253"/>
    </row>
    <row r="635" spans="2:8">
      <c r="B635" s="202" t="s">
        <v>875</v>
      </c>
      <c r="C635" s="203" t="s">
        <v>844</v>
      </c>
      <c r="D635" s="349" t="s">
        <v>867</v>
      </c>
      <c r="E635" s="203" t="s">
        <v>55</v>
      </c>
      <c r="F635" s="299">
        <f>624+20</f>
        <v>644</v>
      </c>
      <c r="G635" s="254"/>
      <c r="H635" s="255"/>
    </row>
    <row r="636" spans="2:8">
      <c r="B636" s="202" t="s">
        <v>876</v>
      </c>
      <c r="C636" s="346"/>
      <c r="D636" s="347" t="s">
        <v>293</v>
      </c>
      <c r="E636" s="348"/>
      <c r="F636" s="298"/>
      <c r="G636" s="252"/>
      <c r="H636" s="253"/>
    </row>
    <row r="637" spans="2:8">
      <c r="B637" s="202" t="s">
        <v>877</v>
      </c>
      <c r="C637" s="203" t="s">
        <v>844</v>
      </c>
      <c r="D637" s="349" t="s">
        <v>867</v>
      </c>
      <c r="E637" s="203" t="s">
        <v>55</v>
      </c>
      <c r="F637" s="299">
        <v>648</v>
      </c>
      <c r="G637" s="254"/>
      <c r="H637" s="255"/>
    </row>
    <row r="638" spans="2:8">
      <c r="B638" s="202" t="s">
        <v>878</v>
      </c>
      <c r="C638" s="346"/>
      <c r="D638" s="347" t="s">
        <v>299</v>
      </c>
      <c r="E638" s="348"/>
      <c r="F638" s="298"/>
      <c r="G638" s="252"/>
      <c r="H638" s="253"/>
    </row>
    <row r="639" spans="2:8">
      <c r="B639" s="202" t="s">
        <v>879</v>
      </c>
      <c r="C639" s="203" t="s">
        <v>844</v>
      </c>
      <c r="D639" s="349" t="s">
        <v>867</v>
      </c>
      <c r="E639" s="203" t="s">
        <v>55</v>
      </c>
      <c r="F639" s="299">
        <v>6</v>
      </c>
      <c r="G639" s="254"/>
      <c r="H639" s="255"/>
    </row>
    <row r="640" spans="2:8" ht="14.25">
      <c r="B640" s="186" t="s">
        <v>880</v>
      </c>
      <c r="C640" s="323"/>
      <c r="D640" s="324" t="s">
        <v>236</v>
      </c>
      <c r="E640" s="325"/>
      <c r="F640" s="286"/>
      <c r="G640" s="238"/>
      <c r="H640" s="239"/>
    </row>
    <row r="641" spans="2:8">
      <c r="B641" s="202" t="s">
        <v>881</v>
      </c>
      <c r="C641" s="346"/>
      <c r="D641" s="347" t="s">
        <v>679</v>
      </c>
      <c r="E641" s="348"/>
      <c r="F641" s="298"/>
      <c r="G641" s="252"/>
      <c r="H641" s="253"/>
    </row>
    <row r="642" spans="2:8">
      <c r="B642" s="202" t="s">
        <v>882</v>
      </c>
      <c r="C642" s="203" t="s">
        <v>844</v>
      </c>
      <c r="D642" s="349" t="s">
        <v>867</v>
      </c>
      <c r="E642" s="203" t="s">
        <v>55</v>
      </c>
      <c r="F642" s="299">
        <v>322</v>
      </c>
      <c r="G642" s="254"/>
      <c r="H642" s="255"/>
    </row>
    <row r="643" spans="2:8">
      <c r="B643" s="202" t="s">
        <v>883</v>
      </c>
      <c r="C643" s="346"/>
      <c r="D643" s="347" t="s">
        <v>264</v>
      </c>
      <c r="E643" s="348"/>
      <c r="F643" s="298"/>
      <c r="G643" s="252"/>
      <c r="H643" s="253"/>
    </row>
    <row r="644" spans="2:8">
      <c r="B644" s="202" t="s">
        <v>884</v>
      </c>
      <c r="C644" s="203" t="s">
        <v>844</v>
      </c>
      <c r="D644" s="349" t="s">
        <v>867</v>
      </c>
      <c r="E644" s="203" t="s">
        <v>55</v>
      </c>
      <c r="F644" s="299">
        <v>322</v>
      </c>
      <c r="G644" s="256"/>
      <c r="H644" s="257"/>
    </row>
    <row r="645" spans="2:8">
      <c r="B645" s="202" t="s">
        <v>885</v>
      </c>
      <c r="C645" s="346"/>
      <c r="D645" s="347" t="s">
        <v>272</v>
      </c>
      <c r="E645" s="348"/>
      <c r="F645" s="298"/>
      <c r="G645" s="252"/>
      <c r="H645" s="258"/>
    </row>
    <row r="646" spans="2:8">
      <c r="B646" s="202" t="s">
        <v>886</v>
      </c>
      <c r="C646" s="203" t="s">
        <v>844</v>
      </c>
      <c r="D646" s="349" t="s">
        <v>867</v>
      </c>
      <c r="E646" s="203" t="s">
        <v>55</v>
      </c>
      <c r="F646" s="299">
        <v>322</v>
      </c>
      <c r="G646" s="254"/>
      <c r="H646" s="257"/>
    </row>
    <row r="647" spans="2:8">
      <c r="B647" s="202" t="s">
        <v>887</v>
      </c>
      <c r="C647" s="346"/>
      <c r="D647" s="347" t="s">
        <v>279</v>
      </c>
      <c r="E647" s="348"/>
      <c r="F647" s="298"/>
      <c r="G647" s="252"/>
      <c r="H647" s="253"/>
    </row>
    <row r="648" spans="2:8">
      <c r="B648" s="202" t="s">
        <v>888</v>
      </c>
      <c r="C648" s="203" t="s">
        <v>844</v>
      </c>
      <c r="D648" s="349" t="s">
        <v>867</v>
      </c>
      <c r="E648" s="203" t="s">
        <v>55</v>
      </c>
      <c r="F648" s="299">
        <v>322</v>
      </c>
      <c r="G648" s="254"/>
      <c r="H648" s="255"/>
    </row>
    <row r="649" spans="2:8">
      <c r="B649" s="202" t="s">
        <v>889</v>
      </c>
      <c r="C649" s="346"/>
      <c r="D649" s="347" t="s">
        <v>286</v>
      </c>
      <c r="E649" s="348"/>
      <c r="F649" s="298"/>
      <c r="G649" s="252"/>
      <c r="H649" s="253"/>
    </row>
    <row r="650" spans="2:8">
      <c r="B650" s="202" t="s">
        <v>890</v>
      </c>
      <c r="C650" s="203" t="s">
        <v>844</v>
      </c>
      <c r="D650" s="349" t="s">
        <v>867</v>
      </c>
      <c r="E650" s="203" t="s">
        <v>55</v>
      </c>
      <c r="F650" s="299">
        <v>322</v>
      </c>
      <c r="G650" s="254"/>
      <c r="H650" s="255"/>
    </row>
    <row r="651" spans="2:8">
      <c r="B651" s="202" t="s">
        <v>891</v>
      </c>
      <c r="C651" s="346"/>
      <c r="D651" s="347" t="s">
        <v>293</v>
      </c>
      <c r="E651" s="348"/>
      <c r="F651" s="298"/>
      <c r="G651" s="252"/>
      <c r="H651" s="253"/>
    </row>
    <row r="652" spans="2:8">
      <c r="B652" s="202" t="s">
        <v>892</v>
      </c>
      <c r="C652" s="203" t="s">
        <v>844</v>
      </c>
      <c r="D652" s="349" t="s">
        <v>867</v>
      </c>
      <c r="E652" s="203" t="s">
        <v>55</v>
      </c>
      <c r="F652" s="299">
        <v>322</v>
      </c>
      <c r="G652" s="254"/>
      <c r="H652" s="255"/>
    </row>
    <row r="653" spans="2:8">
      <c r="B653" s="202" t="s">
        <v>893</v>
      </c>
      <c r="C653" s="346"/>
      <c r="D653" s="347" t="s">
        <v>299</v>
      </c>
      <c r="E653" s="348"/>
      <c r="F653" s="298"/>
      <c r="G653" s="252"/>
      <c r="H653" s="253"/>
    </row>
    <row r="654" spans="2:8">
      <c r="B654" s="202" t="s">
        <v>894</v>
      </c>
      <c r="C654" s="203" t="s">
        <v>844</v>
      </c>
      <c r="D654" s="349" t="s">
        <v>867</v>
      </c>
      <c r="E654" s="203" t="s">
        <v>55</v>
      </c>
      <c r="F654" s="299">
        <v>322</v>
      </c>
      <c r="G654" s="254"/>
      <c r="H654" s="255"/>
    </row>
    <row r="655" spans="2:8" ht="14.25">
      <c r="B655" s="186" t="s">
        <v>895</v>
      </c>
      <c r="C655" s="323"/>
      <c r="D655" s="324" t="s">
        <v>243</v>
      </c>
      <c r="E655" s="325"/>
      <c r="F655" s="286"/>
      <c r="G655" s="238"/>
      <c r="H655" s="239"/>
    </row>
    <row r="656" spans="2:8">
      <c r="B656" s="202" t="s">
        <v>896</v>
      </c>
      <c r="C656" s="346"/>
      <c r="D656" s="347" t="s">
        <v>679</v>
      </c>
      <c r="E656" s="348"/>
      <c r="F656" s="298"/>
      <c r="G656" s="252"/>
      <c r="H656" s="253"/>
    </row>
    <row r="657" spans="2:8">
      <c r="B657" s="202" t="s">
        <v>897</v>
      </c>
      <c r="C657" s="203" t="s">
        <v>844</v>
      </c>
      <c r="D657" s="349" t="s">
        <v>867</v>
      </c>
      <c r="E657" s="203" t="s">
        <v>55</v>
      </c>
      <c r="F657" s="299">
        <v>624</v>
      </c>
      <c r="G657" s="254"/>
      <c r="H657" s="255"/>
    </row>
    <row r="658" spans="2:8">
      <c r="B658" s="202" t="s">
        <v>898</v>
      </c>
      <c r="C658" s="346"/>
      <c r="D658" s="347" t="s">
        <v>264</v>
      </c>
      <c r="E658" s="348"/>
      <c r="F658" s="298"/>
      <c r="G658" s="252"/>
      <c r="H658" s="253"/>
    </row>
    <row r="659" spans="2:8">
      <c r="B659" s="202" t="s">
        <v>899</v>
      </c>
      <c r="C659" s="203" t="s">
        <v>844</v>
      </c>
      <c r="D659" s="349" t="s">
        <v>867</v>
      </c>
      <c r="E659" s="203" t="s">
        <v>55</v>
      </c>
      <c r="F659" s="299">
        <v>624</v>
      </c>
      <c r="G659" s="256"/>
      <c r="H659" s="257"/>
    </row>
    <row r="660" spans="2:8">
      <c r="B660" s="202" t="s">
        <v>900</v>
      </c>
      <c r="C660" s="346"/>
      <c r="D660" s="347" t="s">
        <v>272</v>
      </c>
      <c r="E660" s="348"/>
      <c r="F660" s="298"/>
      <c r="G660" s="252"/>
      <c r="H660" s="258"/>
    </row>
    <row r="661" spans="2:8">
      <c r="B661" s="202" t="s">
        <v>901</v>
      </c>
      <c r="C661" s="203" t="s">
        <v>844</v>
      </c>
      <c r="D661" s="349" t="s">
        <v>867</v>
      </c>
      <c r="E661" s="203" t="s">
        <v>55</v>
      </c>
      <c r="F661" s="299">
        <v>624</v>
      </c>
      <c r="G661" s="254"/>
      <c r="H661" s="257"/>
    </row>
    <row r="662" spans="2:8">
      <c r="B662" s="202" t="s">
        <v>902</v>
      </c>
      <c r="C662" s="346"/>
      <c r="D662" s="347" t="s">
        <v>279</v>
      </c>
      <c r="E662" s="348"/>
      <c r="F662" s="298"/>
      <c r="G662" s="252"/>
      <c r="H662" s="253"/>
    </row>
    <row r="663" spans="2:8">
      <c r="B663" s="202" t="s">
        <v>903</v>
      </c>
      <c r="C663" s="203" t="s">
        <v>844</v>
      </c>
      <c r="D663" s="349" t="s">
        <v>867</v>
      </c>
      <c r="E663" s="203" t="s">
        <v>55</v>
      </c>
      <c r="F663" s="299">
        <v>624</v>
      </c>
      <c r="G663" s="254"/>
      <c r="H663" s="255"/>
    </row>
    <row r="664" spans="2:8">
      <c r="B664" s="202" t="s">
        <v>904</v>
      </c>
      <c r="C664" s="346"/>
      <c r="D664" s="347" t="s">
        <v>380</v>
      </c>
      <c r="E664" s="348"/>
      <c r="F664" s="298"/>
      <c r="G664" s="252"/>
      <c r="H664" s="253"/>
    </row>
    <row r="665" spans="2:8">
      <c r="B665" s="202" t="s">
        <v>905</v>
      </c>
      <c r="C665" s="203" t="s">
        <v>844</v>
      </c>
      <c r="D665" s="349" t="s">
        <v>867</v>
      </c>
      <c r="E665" s="203" t="s">
        <v>55</v>
      </c>
      <c r="F665" s="287">
        <v>273</v>
      </c>
      <c r="G665" s="254"/>
      <c r="H665" s="255"/>
    </row>
    <row r="666" spans="2:8" ht="15">
      <c r="B666" s="186" t="s">
        <v>906</v>
      </c>
      <c r="C666" s="312"/>
      <c r="D666" s="313" t="s">
        <v>112</v>
      </c>
      <c r="E666" s="314"/>
      <c r="F666" s="283"/>
      <c r="G666" s="233"/>
      <c r="H666" s="234"/>
    </row>
    <row r="667" spans="2:8">
      <c r="B667" s="202" t="s">
        <v>907</v>
      </c>
      <c r="C667" s="333"/>
      <c r="D667" s="340" t="s">
        <v>908</v>
      </c>
      <c r="E667" s="342"/>
      <c r="F667" s="287"/>
      <c r="G667" s="243"/>
      <c r="H667" s="244"/>
    </row>
    <row r="668" spans="2:8">
      <c r="B668" s="202" t="s">
        <v>909</v>
      </c>
      <c r="C668" s="198" t="s">
        <v>841</v>
      </c>
      <c r="D668" s="310" t="s">
        <v>842</v>
      </c>
      <c r="E668" s="198" t="s">
        <v>55</v>
      </c>
      <c r="F668" s="281">
        <v>998</v>
      </c>
      <c r="G668" s="256"/>
      <c r="H668" s="257"/>
    </row>
    <row r="669" spans="2:8">
      <c r="B669" s="202" t="s">
        <v>910</v>
      </c>
      <c r="C669" s="198" t="s">
        <v>844</v>
      </c>
      <c r="D669" s="310" t="s">
        <v>867</v>
      </c>
      <c r="E669" s="198" t="s">
        <v>55</v>
      </c>
      <c r="F669" s="281">
        <v>998</v>
      </c>
      <c r="G669" s="256"/>
      <c r="H669" s="257"/>
    </row>
    <row r="670" spans="2:8">
      <c r="B670" s="202" t="s">
        <v>907</v>
      </c>
      <c r="C670" s="198"/>
      <c r="D670" s="310" t="s">
        <v>679</v>
      </c>
      <c r="E670" s="198"/>
      <c r="F670" s="281"/>
      <c r="G670" s="256"/>
      <c r="H670" s="257"/>
    </row>
    <row r="671" spans="2:8">
      <c r="B671" s="202" t="s">
        <v>911</v>
      </c>
      <c r="C671" s="198" t="s">
        <v>844</v>
      </c>
      <c r="D671" s="310" t="s">
        <v>867</v>
      </c>
      <c r="E671" s="198" t="s">
        <v>55</v>
      </c>
      <c r="F671" s="281">
        <v>640</v>
      </c>
      <c r="G671" s="256"/>
      <c r="H671" s="257"/>
    </row>
    <row r="672" spans="2:8" ht="15">
      <c r="B672" s="186" t="s">
        <v>912</v>
      </c>
      <c r="C672" s="323"/>
      <c r="D672" s="324" t="s">
        <v>407</v>
      </c>
      <c r="E672" s="325"/>
      <c r="F672" s="283"/>
      <c r="G672" s="238"/>
      <c r="H672" s="239"/>
    </row>
    <row r="673" spans="2:8">
      <c r="B673" s="202" t="s">
        <v>913</v>
      </c>
      <c r="C673" s="198"/>
      <c r="D673" s="310" t="s">
        <v>818</v>
      </c>
      <c r="E673" s="198"/>
      <c r="F673" s="281"/>
      <c r="G673" s="259"/>
      <c r="H673" s="260"/>
    </row>
    <row r="674" spans="2:8" ht="25.5">
      <c r="B674" s="202" t="s">
        <v>914</v>
      </c>
      <c r="C674" s="203" t="s">
        <v>844</v>
      </c>
      <c r="D674" s="349" t="s">
        <v>915</v>
      </c>
      <c r="E674" s="203" t="s">
        <v>55</v>
      </c>
      <c r="F674" s="281">
        <v>640</v>
      </c>
      <c r="G674" s="259"/>
      <c r="H674" s="260"/>
    </row>
    <row r="675" spans="2:8">
      <c r="B675" s="202" t="s">
        <v>916</v>
      </c>
      <c r="C675" s="198"/>
      <c r="D675" s="310" t="s">
        <v>607</v>
      </c>
      <c r="E675" s="198"/>
      <c r="F675" s="281"/>
      <c r="G675" s="259"/>
      <c r="H675" s="260"/>
    </row>
    <row r="676" spans="2:8">
      <c r="B676" s="202" t="s">
        <v>917</v>
      </c>
      <c r="C676" s="198" t="s">
        <v>841</v>
      </c>
      <c r="D676" s="310" t="s">
        <v>842</v>
      </c>
      <c r="E676" s="198" t="s">
        <v>55</v>
      </c>
      <c r="F676" s="281">
        <v>84</v>
      </c>
      <c r="G676" s="259"/>
      <c r="H676" s="260"/>
    </row>
    <row r="677" spans="2:8">
      <c r="B677" s="202" t="s">
        <v>918</v>
      </c>
      <c r="C677" s="198" t="s">
        <v>844</v>
      </c>
      <c r="D677" s="310" t="s">
        <v>845</v>
      </c>
      <c r="E677" s="198" t="s">
        <v>55</v>
      </c>
      <c r="F677" s="281">
        <v>84</v>
      </c>
      <c r="G677" s="259"/>
      <c r="H677" s="260"/>
    </row>
    <row r="678" spans="2:8">
      <c r="B678" s="202" t="s">
        <v>919</v>
      </c>
      <c r="C678" s="198"/>
      <c r="D678" s="310" t="s">
        <v>419</v>
      </c>
      <c r="E678" s="198"/>
      <c r="F678" s="281"/>
      <c r="G678" s="259"/>
      <c r="H678" s="260"/>
    </row>
    <row r="679" spans="2:8" ht="13.5" thickBot="1">
      <c r="B679" s="202" t="s">
        <v>920</v>
      </c>
      <c r="C679" s="198" t="s">
        <v>841</v>
      </c>
      <c r="D679" s="310" t="s">
        <v>842</v>
      </c>
      <c r="E679" s="198" t="s">
        <v>55</v>
      </c>
      <c r="F679" s="281">
        <v>8</v>
      </c>
      <c r="G679" s="259"/>
      <c r="H679" s="260"/>
    </row>
    <row r="680" spans="2:8" ht="16.5" thickBot="1">
      <c r="B680" s="479" t="s">
        <v>921</v>
      </c>
      <c r="C680" s="480" t="s">
        <v>922</v>
      </c>
      <c r="D680" s="481" t="s">
        <v>923</v>
      </c>
      <c r="E680" s="482"/>
      <c r="F680" s="483"/>
      <c r="G680" s="493"/>
      <c r="H680" s="280"/>
    </row>
    <row r="681" spans="2:8" ht="15">
      <c r="B681" s="486" t="s">
        <v>924</v>
      </c>
      <c r="C681" s="487"/>
      <c r="D681" s="488" t="s">
        <v>133</v>
      </c>
      <c r="E681" s="489"/>
      <c r="F681" s="490"/>
      <c r="G681" s="491"/>
      <c r="H681" s="492"/>
    </row>
    <row r="682" spans="2:8" ht="25.5">
      <c r="B682" s="129" t="s">
        <v>925</v>
      </c>
      <c r="C682" s="198" t="s">
        <v>926</v>
      </c>
      <c r="D682" s="350" t="s">
        <v>927</v>
      </c>
      <c r="E682" s="203" t="s">
        <v>55</v>
      </c>
      <c r="F682" s="281">
        <v>85</v>
      </c>
      <c r="G682" s="229"/>
      <c r="H682" s="235"/>
    </row>
    <row r="683" spans="2:8">
      <c r="B683" s="129" t="s">
        <v>928</v>
      </c>
      <c r="C683" s="198" t="s">
        <v>929</v>
      </c>
      <c r="D683" s="332" t="s">
        <v>930</v>
      </c>
      <c r="E683" s="203" t="s">
        <v>55</v>
      </c>
      <c r="F683" s="287">
        <v>210</v>
      </c>
      <c r="G683" s="229"/>
      <c r="H683" s="235"/>
    </row>
    <row r="684" spans="2:8">
      <c r="B684" s="129" t="s">
        <v>931</v>
      </c>
      <c r="C684" s="198" t="s">
        <v>932</v>
      </c>
      <c r="D684" s="332" t="s">
        <v>933</v>
      </c>
      <c r="E684" s="203" t="s">
        <v>55</v>
      </c>
      <c r="F684" s="287">
        <v>20</v>
      </c>
      <c r="G684" s="229"/>
      <c r="H684" s="235"/>
    </row>
    <row r="685" spans="2:8">
      <c r="B685" s="129" t="s">
        <v>934</v>
      </c>
      <c r="C685" s="198" t="s">
        <v>929</v>
      </c>
      <c r="D685" s="332" t="s">
        <v>935</v>
      </c>
      <c r="E685" s="203" t="s">
        <v>55</v>
      </c>
      <c r="F685" s="281">
        <v>12</v>
      </c>
      <c r="G685" s="229"/>
      <c r="H685" s="235"/>
    </row>
    <row r="686" spans="2:8" ht="15">
      <c r="B686" s="186" t="s">
        <v>936</v>
      </c>
      <c r="C686" s="312"/>
      <c r="D686" s="313" t="s">
        <v>222</v>
      </c>
      <c r="E686" s="314"/>
      <c r="F686" s="283"/>
      <c r="G686" s="233"/>
      <c r="H686" s="234"/>
    </row>
    <row r="687" spans="2:8">
      <c r="B687" s="192" t="s">
        <v>937</v>
      </c>
      <c r="C687" s="351"/>
      <c r="D687" s="330" t="s">
        <v>224</v>
      </c>
      <c r="E687" s="352"/>
      <c r="F687" s="300"/>
      <c r="G687" s="261"/>
      <c r="H687" s="262"/>
    </row>
    <row r="688" spans="2:8" ht="25.5">
      <c r="B688" s="192" t="s">
        <v>938</v>
      </c>
      <c r="C688" s="203" t="s">
        <v>926</v>
      </c>
      <c r="D688" s="349" t="s">
        <v>939</v>
      </c>
      <c r="E688" s="203" t="s">
        <v>55</v>
      </c>
      <c r="F688" s="299">
        <v>2</v>
      </c>
      <c r="G688" s="256"/>
      <c r="H688" s="263"/>
    </row>
    <row r="689" spans="2:8">
      <c r="B689" s="192" t="s">
        <v>940</v>
      </c>
      <c r="C689" s="198" t="s">
        <v>929</v>
      </c>
      <c r="D689" s="332" t="s">
        <v>930</v>
      </c>
      <c r="E689" s="203" t="s">
        <v>55</v>
      </c>
      <c r="F689" s="299">
        <v>920</v>
      </c>
      <c r="G689" s="256"/>
      <c r="H689" s="263"/>
    </row>
    <row r="690" spans="2:8">
      <c r="B690" s="192" t="s">
        <v>941</v>
      </c>
      <c r="C690" s="203" t="s">
        <v>932</v>
      </c>
      <c r="D690" s="353" t="s">
        <v>942</v>
      </c>
      <c r="E690" s="203" t="s">
        <v>55</v>
      </c>
      <c r="F690" s="298">
        <v>8</v>
      </c>
      <c r="G690" s="256"/>
      <c r="H690" s="263"/>
    </row>
    <row r="691" spans="2:8">
      <c r="B691" s="192" t="s">
        <v>943</v>
      </c>
      <c r="C691" s="203" t="s">
        <v>929</v>
      </c>
      <c r="D691" s="353" t="s">
        <v>935</v>
      </c>
      <c r="E691" s="203" t="s">
        <v>55</v>
      </c>
      <c r="F691" s="299">
        <v>18</v>
      </c>
      <c r="G691" s="256"/>
      <c r="H691" s="263"/>
    </row>
    <row r="692" spans="2:8">
      <c r="B692" s="192" t="s">
        <v>944</v>
      </c>
      <c r="C692" s="351"/>
      <c r="D692" s="330" t="s">
        <v>236</v>
      </c>
      <c r="E692" s="203"/>
      <c r="F692" s="300"/>
      <c r="G692" s="261"/>
      <c r="H692" s="258"/>
    </row>
    <row r="693" spans="2:8">
      <c r="B693" s="183" t="s">
        <v>945</v>
      </c>
      <c r="C693" s="198" t="s">
        <v>929</v>
      </c>
      <c r="D693" s="332" t="s">
        <v>930</v>
      </c>
      <c r="E693" s="203" t="s">
        <v>55</v>
      </c>
      <c r="F693" s="281">
        <v>322</v>
      </c>
      <c r="G693" s="229"/>
      <c r="H693" s="230"/>
    </row>
    <row r="694" spans="2:8">
      <c r="B694" s="183" t="s">
        <v>946</v>
      </c>
      <c r="C694" s="203" t="s">
        <v>932</v>
      </c>
      <c r="D694" s="353" t="s">
        <v>942</v>
      </c>
      <c r="E694" s="203" t="s">
        <v>55</v>
      </c>
      <c r="F694" s="287">
        <v>58</v>
      </c>
      <c r="G694" s="229"/>
      <c r="H694" s="230"/>
    </row>
    <row r="695" spans="2:8">
      <c r="B695" s="183" t="s">
        <v>947</v>
      </c>
      <c r="C695" s="198" t="s">
        <v>929</v>
      </c>
      <c r="D695" s="332" t="s">
        <v>935</v>
      </c>
      <c r="E695" s="203" t="s">
        <v>55</v>
      </c>
      <c r="F695" s="281">
        <v>40</v>
      </c>
      <c r="G695" s="229"/>
      <c r="H695" s="230"/>
    </row>
    <row r="696" spans="2:8">
      <c r="B696" s="192" t="s">
        <v>948</v>
      </c>
      <c r="C696" s="351"/>
      <c r="D696" s="330" t="s">
        <v>243</v>
      </c>
      <c r="E696" s="203"/>
      <c r="F696" s="287"/>
      <c r="G696" s="243"/>
      <c r="H696" s="242"/>
    </row>
    <row r="697" spans="2:8" ht="25.5">
      <c r="B697" s="192" t="s">
        <v>949</v>
      </c>
      <c r="C697" s="203" t="s">
        <v>926</v>
      </c>
      <c r="D697" s="349" t="s">
        <v>939</v>
      </c>
      <c r="E697" s="203" t="s">
        <v>55</v>
      </c>
      <c r="F697" s="299">
        <v>40</v>
      </c>
      <c r="G697" s="256"/>
      <c r="H697" s="263"/>
    </row>
    <row r="698" spans="2:8">
      <c r="B698" s="192" t="s">
        <v>950</v>
      </c>
      <c r="C698" s="203" t="s">
        <v>929</v>
      </c>
      <c r="D698" s="349" t="s">
        <v>930</v>
      </c>
      <c r="E698" s="203" t="s">
        <v>55</v>
      </c>
      <c r="F698" s="299">
        <v>660</v>
      </c>
      <c r="G698" s="256"/>
      <c r="H698" s="263"/>
    </row>
    <row r="699" spans="2:8">
      <c r="B699" s="192" t="s">
        <v>951</v>
      </c>
      <c r="C699" s="203" t="s">
        <v>932</v>
      </c>
      <c r="D699" s="349" t="s">
        <v>942</v>
      </c>
      <c r="E699" s="203" t="s">
        <v>55</v>
      </c>
      <c r="F699" s="299">
        <v>10</v>
      </c>
      <c r="G699" s="256"/>
      <c r="H699" s="263"/>
    </row>
    <row r="700" spans="2:8">
      <c r="B700" s="192" t="s">
        <v>952</v>
      </c>
      <c r="C700" s="203" t="s">
        <v>929</v>
      </c>
      <c r="D700" s="349" t="s">
        <v>935</v>
      </c>
      <c r="E700" s="203" t="s">
        <v>55</v>
      </c>
      <c r="F700" s="299">
        <v>20</v>
      </c>
      <c r="G700" s="256"/>
      <c r="H700" s="263"/>
    </row>
    <row r="701" spans="2:8">
      <c r="B701" s="192" t="s">
        <v>953</v>
      </c>
      <c r="C701" s="333"/>
      <c r="D701" s="336" t="s">
        <v>860</v>
      </c>
      <c r="E701" s="203"/>
      <c r="F701" s="287"/>
      <c r="G701" s="243"/>
      <c r="H701" s="244"/>
    </row>
    <row r="702" spans="2:8" ht="38.25">
      <c r="B702" s="192" t="s">
        <v>954</v>
      </c>
      <c r="C702" s="198" t="s">
        <v>926</v>
      </c>
      <c r="D702" s="350" t="s">
        <v>955</v>
      </c>
      <c r="E702" s="203" t="s">
        <v>55</v>
      </c>
      <c r="F702" s="281">
        <v>2220</v>
      </c>
      <c r="G702" s="229"/>
      <c r="H702" s="235"/>
    </row>
    <row r="703" spans="2:8" ht="25.5">
      <c r="B703" s="192" t="s">
        <v>956</v>
      </c>
      <c r="C703" s="198" t="s">
        <v>926</v>
      </c>
      <c r="D703" s="350" t="s">
        <v>957</v>
      </c>
      <c r="E703" s="203" t="s">
        <v>55</v>
      </c>
      <c r="F703" s="281">
        <v>45</v>
      </c>
      <c r="G703" s="229"/>
      <c r="H703" s="235"/>
    </row>
    <row r="704" spans="2:8">
      <c r="B704" s="192" t="s">
        <v>958</v>
      </c>
      <c r="C704" s="198" t="s">
        <v>929</v>
      </c>
      <c r="D704" s="332" t="s">
        <v>930</v>
      </c>
      <c r="E704" s="203" t="s">
        <v>55</v>
      </c>
      <c r="F704" s="287">
        <v>30</v>
      </c>
      <c r="G704" s="229"/>
      <c r="H704" s="235"/>
    </row>
    <row r="705" spans="2:8" ht="25.5">
      <c r="B705" s="192" t="s">
        <v>959</v>
      </c>
      <c r="C705" s="198" t="s">
        <v>929</v>
      </c>
      <c r="D705" s="332" t="s">
        <v>960</v>
      </c>
      <c r="E705" s="203" t="s">
        <v>55</v>
      </c>
      <c r="F705" s="281">
        <v>42</v>
      </c>
      <c r="G705" s="229"/>
      <c r="H705" s="235"/>
    </row>
    <row r="706" spans="2:8">
      <c r="B706" s="192" t="s">
        <v>961</v>
      </c>
      <c r="C706" s="198" t="s">
        <v>929</v>
      </c>
      <c r="D706" s="332" t="s">
        <v>962</v>
      </c>
      <c r="E706" s="203" t="s">
        <v>55</v>
      </c>
      <c r="F706" s="287">
        <v>234</v>
      </c>
      <c r="G706" s="229"/>
      <c r="H706" s="235"/>
    </row>
    <row r="707" spans="2:8" ht="15">
      <c r="B707" s="186" t="s">
        <v>963</v>
      </c>
      <c r="C707" s="312"/>
      <c r="D707" s="313" t="s">
        <v>224</v>
      </c>
      <c r="E707" s="314"/>
      <c r="F707" s="283"/>
      <c r="G707" s="233"/>
      <c r="H707" s="234"/>
    </row>
    <row r="708" spans="2:8">
      <c r="B708" s="183" t="s">
        <v>964</v>
      </c>
      <c r="C708" s="333"/>
      <c r="D708" s="334" t="s">
        <v>679</v>
      </c>
      <c r="E708" s="203"/>
      <c r="F708" s="291"/>
      <c r="G708" s="243"/>
      <c r="H708" s="242"/>
    </row>
    <row r="709" spans="2:8" ht="25.5">
      <c r="B709" s="183" t="s">
        <v>965</v>
      </c>
      <c r="C709" s="198" t="s">
        <v>926</v>
      </c>
      <c r="D709" s="350" t="s">
        <v>966</v>
      </c>
      <c r="E709" s="203" t="s">
        <v>55</v>
      </c>
      <c r="F709" s="281">
        <v>4</v>
      </c>
      <c r="G709" s="229"/>
      <c r="H709" s="235"/>
    </row>
    <row r="710" spans="2:8">
      <c r="B710" s="183" t="s">
        <v>967</v>
      </c>
      <c r="C710" s="198" t="s">
        <v>929</v>
      </c>
      <c r="D710" s="332" t="s">
        <v>930</v>
      </c>
      <c r="E710" s="203" t="s">
        <v>55</v>
      </c>
      <c r="F710" s="281">
        <v>404</v>
      </c>
      <c r="G710" s="229"/>
      <c r="H710" s="235"/>
    </row>
    <row r="711" spans="2:8">
      <c r="B711" s="183" t="s">
        <v>968</v>
      </c>
      <c r="C711" s="203" t="s">
        <v>932</v>
      </c>
      <c r="D711" s="349" t="s">
        <v>942</v>
      </c>
      <c r="E711" s="203" t="s">
        <v>55</v>
      </c>
      <c r="F711" s="287">
        <v>328</v>
      </c>
      <c r="G711" s="264"/>
      <c r="H711" s="230"/>
    </row>
    <row r="712" spans="2:8">
      <c r="B712" s="183" t="s">
        <v>969</v>
      </c>
      <c r="C712" s="203" t="s">
        <v>929</v>
      </c>
      <c r="D712" s="349" t="s">
        <v>935</v>
      </c>
      <c r="E712" s="203" t="s">
        <v>55</v>
      </c>
      <c r="F712" s="299">
        <v>20</v>
      </c>
      <c r="G712" s="229"/>
      <c r="H712" s="235"/>
    </row>
    <row r="713" spans="2:8">
      <c r="B713" s="183" t="s">
        <v>970</v>
      </c>
      <c r="C713" s="333"/>
      <c r="D713" s="354" t="s">
        <v>264</v>
      </c>
      <c r="E713" s="203"/>
      <c r="F713" s="291"/>
      <c r="G713" s="243"/>
      <c r="H713" s="242"/>
    </row>
    <row r="714" spans="2:8">
      <c r="B714" s="183" t="s">
        <v>971</v>
      </c>
      <c r="C714" s="198" t="s">
        <v>929</v>
      </c>
      <c r="D714" s="332" t="s">
        <v>930</v>
      </c>
      <c r="E714" s="203" t="s">
        <v>55</v>
      </c>
      <c r="F714" s="281">
        <v>620</v>
      </c>
      <c r="G714" s="229"/>
      <c r="H714" s="235"/>
    </row>
    <row r="715" spans="2:8">
      <c r="B715" s="183" t="s">
        <v>972</v>
      </c>
      <c r="C715" s="198" t="s">
        <v>929</v>
      </c>
      <c r="D715" s="332" t="s">
        <v>935</v>
      </c>
      <c r="E715" s="203" t="s">
        <v>55</v>
      </c>
      <c r="F715" s="281">
        <v>20</v>
      </c>
      <c r="G715" s="229"/>
      <c r="H715" s="235"/>
    </row>
    <row r="716" spans="2:8">
      <c r="B716" s="183" t="s">
        <v>973</v>
      </c>
      <c r="C716" s="333"/>
      <c r="D716" s="334" t="s">
        <v>272</v>
      </c>
      <c r="E716" s="203"/>
      <c r="F716" s="291"/>
      <c r="G716" s="243"/>
      <c r="H716" s="242"/>
    </row>
    <row r="717" spans="2:8" ht="25.5">
      <c r="B717" s="183" t="s">
        <v>974</v>
      </c>
      <c r="C717" s="198" t="s">
        <v>926</v>
      </c>
      <c r="D717" s="350" t="s">
        <v>966</v>
      </c>
      <c r="E717" s="203" t="s">
        <v>55</v>
      </c>
      <c r="F717" s="281">
        <v>4</v>
      </c>
      <c r="G717" s="229"/>
      <c r="H717" s="235"/>
    </row>
    <row r="718" spans="2:8">
      <c r="B718" s="183" t="s">
        <v>975</v>
      </c>
      <c r="C718" s="198" t="s">
        <v>929</v>
      </c>
      <c r="D718" s="332" t="s">
        <v>930</v>
      </c>
      <c r="E718" s="203" t="s">
        <v>55</v>
      </c>
      <c r="F718" s="281">
        <v>620</v>
      </c>
      <c r="G718" s="229"/>
      <c r="H718" s="235"/>
    </row>
    <row r="719" spans="2:8">
      <c r="B719" s="183" t="s">
        <v>976</v>
      </c>
      <c r="C719" s="198" t="s">
        <v>929</v>
      </c>
      <c r="D719" s="332" t="s">
        <v>935</v>
      </c>
      <c r="E719" s="203" t="s">
        <v>55</v>
      </c>
      <c r="F719" s="281">
        <v>20</v>
      </c>
      <c r="G719" s="229"/>
      <c r="H719" s="235"/>
    </row>
    <row r="720" spans="2:8">
      <c r="B720" s="183" t="s">
        <v>977</v>
      </c>
      <c r="C720" s="333"/>
      <c r="D720" s="334" t="s">
        <v>279</v>
      </c>
      <c r="E720" s="203"/>
      <c r="F720" s="291"/>
      <c r="G720" s="243"/>
      <c r="H720" s="242"/>
    </row>
    <row r="721" spans="2:8" ht="25.5">
      <c r="B721" s="183" t="s">
        <v>978</v>
      </c>
      <c r="C721" s="198" t="s">
        <v>926</v>
      </c>
      <c r="D721" s="350" t="s">
        <v>966</v>
      </c>
      <c r="E721" s="203" t="s">
        <v>55</v>
      </c>
      <c r="F721" s="281">
        <v>4</v>
      </c>
      <c r="G721" s="229"/>
      <c r="H721" s="235"/>
    </row>
    <row r="722" spans="2:8">
      <c r="B722" s="183" t="s">
        <v>979</v>
      </c>
      <c r="C722" s="198" t="s">
        <v>929</v>
      </c>
      <c r="D722" s="332" t="s">
        <v>930</v>
      </c>
      <c r="E722" s="203" t="s">
        <v>55</v>
      </c>
      <c r="F722" s="281">
        <v>620</v>
      </c>
      <c r="G722" s="229"/>
      <c r="H722" s="235"/>
    </row>
    <row r="723" spans="2:8">
      <c r="B723" s="183" t="s">
        <v>980</v>
      </c>
      <c r="C723" s="198" t="s">
        <v>929</v>
      </c>
      <c r="D723" s="332" t="s">
        <v>935</v>
      </c>
      <c r="E723" s="203" t="s">
        <v>55</v>
      </c>
      <c r="F723" s="281">
        <v>20</v>
      </c>
      <c r="G723" s="229"/>
      <c r="H723" s="235"/>
    </row>
    <row r="724" spans="2:8">
      <c r="B724" s="183" t="s">
        <v>981</v>
      </c>
      <c r="C724" s="333"/>
      <c r="D724" s="334" t="s">
        <v>286</v>
      </c>
      <c r="E724" s="203"/>
      <c r="F724" s="291"/>
      <c r="G724" s="243"/>
      <c r="H724" s="242"/>
    </row>
    <row r="725" spans="2:8" ht="25.5">
      <c r="B725" s="183" t="s">
        <v>982</v>
      </c>
      <c r="C725" s="198" t="s">
        <v>926</v>
      </c>
      <c r="D725" s="350" t="s">
        <v>966</v>
      </c>
      <c r="E725" s="203" t="s">
        <v>55</v>
      </c>
      <c r="F725" s="281">
        <v>4</v>
      </c>
      <c r="G725" s="229"/>
      <c r="H725" s="235"/>
    </row>
    <row r="726" spans="2:8">
      <c r="B726" s="183" t="s">
        <v>983</v>
      </c>
      <c r="C726" s="198" t="s">
        <v>929</v>
      </c>
      <c r="D726" s="332" t="s">
        <v>930</v>
      </c>
      <c r="E726" s="203" t="s">
        <v>55</v>
      </c>
      <c r="F726" s="281">
        <v>620</v>
      </c>
      <c r="G726" s="229"/>
      <c r="H726" s="235"/>
    </row>
    <row r="727" spans="2:8">
      <c r="B727" s="183" t="s">
        <v>984</v>
      </c>
      <c r="C727" s="198" t="s">
        <v>929</v>
      </c>
      <c r="D727" s="332" t="s">
        <v>935</v>
      </c>
      <c r="E727" s="203" t="s">
        <v>55</v>
      </c>
      <c r="F727" s="281">
        <v>20</v>
      </c>
      <c r="G727" s="229"/>
      <c r="H727" s="235"/>
    </row>
    <row r="728" spans="2:8">
      <c r="B728" s="183" t="s">
        <v>985</v>
      </c>
      <c r="C728" s="333"/>
      <c r="D728" s="334" t="s">
        <v>293</v>
      </c>
      <c r="E728" s="203"/>
      <c r="F728" s="291"/>
      <c r="G728" s="243"/>
      <c r="H728" s="242"/>
    </row>
    <row r="729" spans="2:8">
      <c r="B729" s="183" t="s">
        <v>986</v>
      </c>
      <c r="C729" s="198" t="s">
        <v>929</v>
      </c>
      <c r="D729" s="332" t="s">
        <v>930</v>
      </c>
      <c r="E729" s="203" t="s">
        <v>55</v>
      </c>
      <c r="F729" s="281">
        <f>620+8</f>
        <v>628</v>
      </c>
      <c r="G729" s="229"/>
      <c r="H729" s="235"/>
    </row>
    <row r="730" spans="2:8">
      <c r="B730" s="183" t="s">
        <v>987</v>
      </c>
      <c r="C730" s="198" t="s">
        <v>929</v>
      </c>
      <c r="D730" s="332" t="s">
        <v>935</v>
      </c>
      <c r="E730" s="203" t="s">
        <v>55</v>
      </c>
      <c r="F730" s="281">
        <v>20</v>
      </c>
      <c r="G730" s="229"/>
      <c r="H730" s="235"/>
    </row>
    <row r="731" spans="2:8">
      <c r="B731" s="183" t="s">
        <v>988</v>
      </c>
      <c r="C731" s="333"/>
      <c r="D731" s="354" t="s">
        <v>299</v>
      </c>
      <c r="E731" s="203"/>
      <c r="F731" s="291"/>
      <c r="G731" s="243"/>
      <c r="H731" s="242"/>
    </row>
    <row r="732" spans="2:8" ht="25.5">
      <c r="B732" s="183" t="s">
        <v>989</v>
      </c>
      <c r="C732" s="198" t="s">
        <v>929</v>
      </c>
      <c r="D732" s="332" t="s">
        <v>990</v>
      </c>
      <c r="E732" s="203" t="s">
        <v>55</v>
      </c>
      <c r="F732" s="281">
        <v>6</v>
      </c>
      <c r="G732" s="229"/>
      <c r="H732" s="235"/>
    </row>
    <row r="733" spans="2:8" ht="25.5">
      <c r="B733" s="183" t="s">
        <v>991</v>
      </c>
      <c r="C733" s="198" t="s">
        <v>926</v>
      </c>
      <c r="D733" s="332" t="s">
        <v>992</v>
      </c>
      <c r="E733" s="203" t="s">
        <v>55</v>
      </c>
      <c r="F733" s="287">
        <v>371</v>
      </c>
      <c r="G733" s="229"/>
      <c r="H733" s="235"/>
    </row>
    <row r="734" spans="2:8" ht="38.25">
      <c r="B734" s="183" t="s">
        <v>993</v>
      </c>
      <c r="C734" s="198" t="s">
        <v>926</v>
      </c>
      <c r="D734" s="332" t="s">
        <v>994</v>
      </c>
      <c r="E734" s="203" t="s">
        <v>55</v>
      </c>
      <c r="F734" s="287">
        <v>331</v>
      </c>
      <c r="G734" s="229"/>
      <c r="H734" s="235"/>
    </row>
    <row r="735" spans="2:8" ht="51">
      <c r="B735" s="183" t="s">
        <v>995</v>
      </c>
      <c r="C735" s="198" t="s">
        <v>926</v>
      </c>
      <c r="D735" s="332" t="s">
        <v>996</v>
      </c>
      <c r="E735" s="203" t="s">
        <v>55</v>
      </c>
      <c r="F735" s="287">
        <v>144</v>
      </c>
      <c r="G735" s="229"/>
      <c r="H735" s="235"/>
    </row>
    <row r="736" spans="2:8" ht="15">
      <c r="B736" s="186" t="s">
        <v>997</v>
      </c>
      <c r="C736" s="312"/>
      <c r="D736" s="313" t="s">
        <v>236</v>
      </c>
      <c r="E736" s="314"/>
      <c r="F736" s="283"/>
      <c r="G736" s="233"/>
      <c r="H736" s="234"/>
    </row>
    <row r="737" spans="2:8">
      <c r="B737" s="183" t="s">
        <v>998</v>
      </c>
      <c r="C737" s="333"/>
      <c r="D737" s="334" t="s">
        <v>679</v>
      </c>
      <c r="E737" s="203"/>
      <c r="F737" s="291"/>
      <c r="G737" s="243"/>
      <c r="H737" s="242"/>
    </row>
    <row r="738" spans="2:8">
      <c r="B738" s="183" t="s">
        <v>999</v>
      </c>
      <c r="C738" s="198" t="s">
        <v>929</v>
      </c>
      <c r="D738" s="332" t="s">
        <v>930</v>
      </c>
      <c r="E738" s="203" t="s">
        <v>55</v>
      </c>
      <c r="F738" s="281">
        <v>210</v>
      </c>
      <c r="G738" s="229"/>
      <c r="H738" s="235"/>
    </row>
    <row r="739" spans="2:8">
      <c r="B739" s="183" t="s">
        <v>1000</v>
      </c>
      <c r="C739" s="203" t="s">
        <v>932</v>
      </c>
      <c r="D739" s="349" t="s">
        <v>942</v>
      </c>
      <c r="E739" s="203" t="s">
        <v>55</v>
      </c>
      <c r="F739" s="287">
        <v>80</v>
      </c>
      <c r="G739" s="229"/>
      <c r="H739" s="235"/>
    </row>
    <row r="740" spans="2:8">
      <c r="B740" s="183" t="s">
        <v>1001</v>
      </c>
      <c r="C740" s="198" t="s">
        <v>929</v>
      </c>
      <c r="D740" s="332" t="s">
        <v>935</v>
      </c>
      <c r="E740" s="203" t="s">
        <v>55</v>
      </c>
      <c r="F740" s="281">
        <v>40</v>
      </c>
      <c r="G740" s="264"/>
      <c r="H740" s="230"/>
    </row>
    <row r="741" spans="2:8">
      <c r="B741" s="183" t="s">
        <v>1002</v>
      </c>
      <c r="C741" s="333"/>
      <c r="D741" s="354" t="s">
        <v>264</v>
      </c>
      <c r="E741" s="203"/>
      <c r="F741" s="291"/>
      <c r="G741" s="243"/>
      <c r="H741" s="242"/>
    </row>
    <row r="742" spans="2:8">
      <c r="B742" s="183" t="s">
        <v>1003</v>
      </c>
      <c r="C742" s="198" t="s">
        <v>929</v>
      </c>
      <c r="D742" s="332" t="s">
        <v>930</v>
      </c>
      <c r="E742" s="203" t="s">
        <v>55</v>
      </c>
      <c r="F742" s="281">
        <v>210</v>
      </c>
      <c r="G742" s="229"/>
      <c r="H742" s="235"/>
    </row>
    <row r="743" spans="2:8">
      <c r="B743" s="183" t="s">
        <v>1004</v>
      </c>
      <c r="C743" s="203" t="s">
        <v>932</v>
      </c>
      <c r="D743" s="349" t="s">
        <v>942</v>
      </c>
      <c r="E743" s="203" t="s">
        <v>55</v>
      </c>
      <c r="F743" s="287">
        <v>80</v>
      </c>
      <c r="G743" s="229"/>
      <c r="H743" s="235"/>
    </row>
    <row r="744" spans="2:8">
      <c r="B744" s="183" t="s">
        <v>1005</v>
      </c>
      <c r="C744" s="198" t="s">
        <v>929</v>
      </c>
      <c r="D744" s="332" t="s">
        <v>935</v>
      </c>
      <c r="E744" s="203" t="s">
        <v>55</v>
      </c>
      <c r="F744" s="281">
        <v>40</v>
      </c>
      <c r="G744" s="229"/>
      <c r="H744" s="235"/>
    </row>
    <row r="745" spans="2:8">
      <c r="B745" s="183" t="s">
        <v>1006</v>
      </c>
      <c r="C745" s="333"/>
      <c r="D745" s="334" t="s">
        <v>272</v>
      </c>
      <c r="E745" s="203"/>
      <c r="F745" s="291"/>
      <c r="G745" s="243"/>
      <c r="H745" s="242"/>
    </row>
    <row r="746" spans="2:8">
      <c r="B746" s="183" t="s">
        <v>1007</v>
      </c>
      <c r="C746" s="198" t="s">
        <v>929</v>
      </c>
      <c r="D746" s="332" t="s">
        <v>930</v>
      </c>
      <c r="E746" s="203" t="s">
        <v>55</v>
      </c>
      <c r="F746" s="281">
        <v>210</v>
      </c>
      <c r="G746" s="229"/>
      <c r="H746" s="235"/>
    </row>
    <row r="747" spans="2:8">
      <c r="B747" s="183" t="s">
        <v>1008</v>
      </c>
      <c r="C747" s="203" t="s">
        <v>932</v>
      </c>
      <c r="D747" s="349" t="s">
        <v>942</v>
      </c>
      <c r="E747" s="203" t="s">
        <v>55</v>
      </c>
      <c r="F747" s="287">
        <v>80</v>
      </c>
      <c r="G747" s="229"/>
      <c r="H747" s="235"/>
    </row>
    <row r="748" spans="2:8">
      <c r="B748" s="183" t="s">
        <v>1009</v>
      </c>
      <c r="C748" s="198" t="s">
        <v>929</v>
      </c>
      <c r="D748" s="332" t="s">
        <v>935</v>
      </c>
      <c r="E748" s="203" t="s">
        <v>55</v>
      </c>
      <c r="F748" s="281">
        <v>40</v>
      </c>
      <c r="G748" s="229"/>
      <c r="H748" s="235"/>
    </row>
    <row r="749" spans="2:8">
      <c r="B749" s="183" t="s">
        <v>1010</v>
      </c>
      <c r="C749" s="333"/>
      <c r="D749" s="334" t="s">
        <v>279</v>
      </c>
      <c r="E749" s="203"/>
      <c r="F749" s="291"/>
      <c r="G749" s="243"/>
      <c r="H749" s="242"/>
    </row>
    <row r="750" spans="2:8">
      <c r="B750" s="183" t="s">
        <v>1003</v>
      </c>
      <c r="C750" s="198" t="s">
        <v>929</v>
      </c>
      <c r="D750" s="332" t="s">
        <v>930</v>
      </c>
      <c r="E750" s="203" t="s">
        <v>55</v>
      </c>
      <c r="F750" s="281">
        <v>210</v>
      </c>
      <c r="G750" s="229"/>
      <c r="H750" s="235"/>
    </row>
    <row r="751" spans="2:8">
      <c r="B751" s="183" t="s">
        <v>1004</v>
      </c>
      <c r="C751" s="203" t="s">
        <v>932</v>
      </c>
      <c r="D751" s="349" t="s">
        <v>942</v>
      </c>
      <c r="E751" s="203" t="s">
        <v>55</v>
      </c>
      <c r="F751" s="287">
        <v>80</v>
      </c>
      <c r="G751" s="229"/>
      <c r="H751" s="235"/>
    </row>
    <row r="752" spans="2:8">
      <c r="B752" s="183" t="s">
        <v>1005</v>
      </c>
      <c r="C752" s="198" t="s">
        <v>929</v>
      </c>
      <c r="D752" s="332" t="s">
        <v>935</v>
      </c>
      <c r="E752" s="203" t="s">
        <v>55</v>
      </c>
      <c r="F752" s="281">
        <v>40</v>
      </c>
      <c r="G752" s="229"/>
      <c r="H752" s="235"/>
    </row>
    <row r="753" spans="2:8">
      <c r="B753" s="183" t="s">
        <v>1011</v>
      </c>
      <c r="C753" s="333"/>
      <c r="D753" s="334" t="s">
        <v>286</v>
      </c>
      <c r="E753" s="203"/>
      <c r="F753" s="291"/>
      <c r="G753" s="243"/>
      <c r="H753" s="242"/>
    </row>
    <row r="754" spans="2:8">
      <c r="B754" s="183" t="s">
        <v>1012</v>
      </c>
      <c r="C754" s="198" t="s">
        <v>929</v>
      </c>
      <c r="D754" s="332" t="s">
        <v>930</v>
      </c>
      <c r="E754" s="203" t="s">
        <v>55</v>
      </c>
      <c r="F754" s="281">
        <v>210</v>
      </c>
      <c r="G754" s="229"/>
      <c r="H754" s="235"/>
    </row>
    <row r="755" spans="2:8">
      <c r="B755" s="183" t="s">
        <v>1013</v>
      </c>
      <c r="C755" s="203" t="s">
        <v>932</v>
      </c>
      <c r="D755" s="349" t="s">
        <v>942</v>
      </c>
      <c r="E755" s="203" t="s">
        <v>55</v>
      </c>
      <c r="F755" s="287">
        <v>80</v>
      </c>
      <c r="G755" s="229"/>
      <c r="H755" s="235"/>
    </row>
    <row r="756" spans="2:8">
      <c r="B756" s="183" t="s">
        <v>1014</v>
      </c>
      <c r="C756" s="198" t="s">
        <v>929</v>
      </c>
      <c r="D756" s="332" t="s">
        <v>935</v>
      </c>
      <c r="E756" s="203" t="s">
        <v>55</v>
      </c>
      <c r="F756" s="281">
        <v>40</v>
      </c>
      <c r="G756" s="229"/>
      <c r="H756" s="235"/>
    </row>
    <row r="757" spans="2:8">
      <c r="B757" s="183" t="s">
        <v>1015</v>
      </c>
      <c r="C757" s="333"/>
      <c r="D757" s="334" t="s">
        <v>293</v>
      </c>
      <c r="E757" s="203"/>
      <c r="F757" s="291"/>
      <c r="G757" s="243"/>
      <c r="H757" s="242"/>
    </row>
    <row r="758" spans="2:8">
      <c r="B758" s="183" t="s">
        <v>1016</v>
      </c>
      <c r="C758" s="198" t="s">
        <v>929</v>
      </c>
      <c r="D758" s="332" t="s">
        <v>930</v>
      </c>
      <c r="E758" s="203" t="s">
        <v>55</v>
      </c>
      <c r="F758" s="281">
        <v>210</v>
      </c>
      <c r="G758" s="229"/>
      <c r="H758" s="235"/>
    </row>
    <row r="759" spans="2:8">
      <c r="B759" s="183" t="s">
        <v>1017</v>
      </c>
      <c r="C759" s="203" t="s">
        <v>932</v>
      </c>
      <c r="D759" s="349" t="s">
        <v>942</v>
      </c>
      <c r="E759" s="203" t="s">
        <v>55</v>
      </c>
      <c r="F759" s="287">
        <v>80</v>
      </c>
      <c r="G759" s="229"/>
      <c r="H759" s="235"/>
    </row>
    <row r="760" spans="2:8">
      <c r="B760" s="183" t="s">
        <v>1018</v>
      </c>
      <c r="C760" s="198" t="s">
        <v>929</v>
      </c>
      <c r="D760" s="332" t="s">
        <v>935</v>
      </c>
      <c r="E760" s="203" t="s">
        <v>55</v>
      </c>
      <c r="F760" s="281">
        <v>20</v>
      </c>
      <c r="G760" s="229"/>
      <c r="H760" s="235"/>
    </row>
    <row r="761" spans="2:8">
      <c r="B761" s="183" t="s">
        <v>1019</v>
      </c>
      <c r="C761" s="333"/>
      <c r="D761" s="354" t="s">
        <v>299</v>
      </c>
      <c r="E761" s="203"/>
      <c r="F761" s="291"/>
      <c r="G761" s="243"/>
      <c r="H761" s="242"/>
    </row>
    <row r="762" spans="2:8">
      <c r="B762" s="183" t="s">
        <v>1020</v>
      </c>
      <c r="C762" s="198" t="s">
        <v>929</v>
      </c>
      <c r="D762" s="332" t="s">
        <v>930</v>
      </c>
      <c r="E762" s="203" t="s">
        <v>55</v>
      </c>
      <c r="F762" s="281">
        <v>260</v>
      </c>
      <c r="G762" s="229"/>
      <c r="H762" s="235"/>
    </row>
    <row r="763" spans="2:8">
      <c r="B763" s="183" t="s">
        <v>1021</v>
      </c>
      <c r="C763" s="203" t="s">
        <v>932</v>
      </c>
      <c r="D763" s="349" t="s">
        <v>942</v>
      </c>
      <c r="E763" s="203" t="s">
        <v>55</v>
      </c>
      <c r="F763" s="287">
        <v>26</v>
      </c>
      <c r="G763" s="229"/>
      <c r="H763" s="235"/>
    </row>
    <row r="764" spans="2:8" ht="25.5">
      <c r="B764" s="183" t="s">
        <v>1022</v>
      </c>
      <c r="C764" s="198" t="s">
        <v>926</v>
      </c>
      <c r="D764" s="332" t="s">
        <v>1023</v>
      </c>
      <c r="E764" s="203" t="s">
        <v>55</v>
      </c>
      <c r="F764" s="281">
        <v>38</v>
      </c>
      <c r="G764" s="229"/>
      <c r="H764" s="235"/>
    </row>
    <row r="765" spans="2:8" ht="38.25">
      <c r="B765" s="183" t="s">
        <v>1024</v>
      </c>
      <c r="C765" s="198" t="s">
        <v>926</v>
      </c>
      <c r="D765" s="332" t="s">
        <v>1025</v>
      </c>
      <c r="E765" s="203" t="s">
        <v>55</v>
      </c>
      <c r="F765" s="281">
        <v>418.25</v>
      </c>
      <c r="G765" s="229"/>
      <c r="H765" s="235"/>
    </row>
    <row r="766" spans="2:8" ht="15">
      <c r="B766" s="186" t="s">
        <v>1026</v>
      </c>
      <c r="C766" s="312"/>
      <c r="D766" s="313" t="s">
        <v>243</v>
      </c>
      <c r="E766" s="314"/>
      <c r="F766" s="283"/>
      <c r="G766" s="233"/>
      <c r="H766" s="234"/>
    </row>
    <row r="767" spans="2:8">
      <c r="B767" s="183" t="s">
        <v>1027</v>
      </c>
      <c r="C767" s="333"/>
      <c r="D767" s="334" t="s">
        <v>679</v>
      </c>
      <c r="E767" s="203"/>
      <c r="F767" s="291"/>
      <c r="G767" s="243"/>
      <c r="H767" s="242"/>
    </row>
    <row r="768" spans="2:8">
      <c r="B768" s="183" t="s">
        <v>1028</v>
      </c>
      <c r="C768" s="198" t="s">
        <v>929</v>
      </c>
      <c r="D768" s="332" t="s">
        <v>930</v>
      </c>
      <c r="E768" s="203" t="s">
        <v>55</v>
      </c>
      <c r="F768" s="281">
        <v>624</v>
      </c>
      <c r="G768" s="229"/>
      <c r="H768" s="235"/>
    </row>
    <row r="769" spans="2:8">
      <c r="B769" s="183" t="s">
        <v>1029</v>
      </c>
      <c r="C769" s="198" t="s">
        <v>929</v>
      </c>
      <c r="D769" s="332" t="s">
        <v>935</v>
      </c>
      <c r="E769" s="203" t="s">
        <v>55</v>
      </c>
      <c r="F769" s="287">
        <v>20</v>
      </c>
      <c r="G769" s="229"/>
      <c r="H769" s="235"/>
    </row>
    <row r="770" spans="2:8">
      <c r="B770" s="183" t="s">
        <v>1030</v>
      </c>
      <c r="C770" s="333"/>
      <c r="D770" s="354" t="s">
        <v>264</v>
      </c>
      <c r="E770" s="203"/>
      <c r="F770" s="291"/>
      <c r="G770" s="243"/>
      <c r="H770" s="242"/>
    </row>
    <row r="771" spans="2:8">
      <c r="B771" s="183" t="s">
        <v>1031</v>
      </c>
      <c r="C771" s="198" t="s">
        <v>929</v>
      </c>
      <c r="D771" s="332" t="s">
        <v>930</v>
      </c>
      <c r="E771" s="203" t="s">
        <v>55</v>
      </c>
      <c r="F771" s="281">
        <v>624</v>
      </c>
      <c r="G771" s="229"/>
      <c r="H771" s="235"/>
    </row>
    <row r="772" spans="2:8">
      <c r="B772" s="183" t="s">
        <v>1032</v>
      </c>
      <c r="C772" s="198" t="s">
        <v>929</v>
      </c>
      <c r="D772" s="332" t="s">
        <v>935</v>
      </c>
      <c r="E772" s="203" t="s">
        <v>55</v>
      </c>
      <c r="F772" s="287">
        <v>20</v>
      </c>
      <c r="G772" s="229"/>
      <c r="H772" s="235"/>
    </row>
    <row r="773" spans="2:8">
      <c r="B773" s="183" t="s">
        <v>1033</v>
      </c>
      <c r="C773" s="333"/>
      <c r="D773" s="334" t="s">
        <v>272</v>
      </c>
      <c r="E773" s="203"/>
      <c r="F773" s="291"/>
      <c r="G773" s="243"/>
      <c r="H773" s="242"/>
    </row>
    <row r="774" spans="2:8">
      <c r="B774" s="183" t="s">
        <v>1034</v>
      </c>
      <c r="C774" s="198" t="s">
        <v>929</v>
      </c>
      <c r="D774" s="332" t="s">
        <v>930</v>
      </c>
      <c r="E774" s="203" t="s">
        <v>55</v>
      </c>
      <c r="F774" s="281">
        <v>624</v>
      </c>
      <c r="G774" s="229"/>
      <c r="H774" s="235"/>
    </row>
    <row r="775" spans="2:8">
      <c r="B775" s="183" t="s">
        <v>1035</v>
      </c>
      <c r="C775" s="198" t="s">
        <v>929</v>
      </c>
      <c r="D775" s="332" t="s">
        <v>935</v>
      </c>
      <c r="E775" s="203" t="s">
        <v>55</v>
      </c>
      <c r="F775" s="287">
        <v>20</v>
      </c>
      <c r="G775" s="229"/>
      <c r="H775" s="235"/>
    </row>
    <row r="776" spans="2:8">
      <c r="B776" s="183" t="s">
        <v>1036</v>
      </c>
      <c r="C776" s="333"/>
      <c r="D776" s="334" t="s">
        <v>279</v>
      </c>
      <c r="E776" s="203"/>
      <c r="F776" s="291"/>
      <c r="G776" s="243"/>
      <c r="H776" s="242"/>
    </row>
    <row r="777" spans="2:8">
      <c r="B777" s="183" t="s">
        <v>1037</v>
      </c>
      <c r="C777" s="198" t="s">
        <v>929</v>
      </c>
      <c r="D777" s="332" t="s">
        <v>930</v>
      </c>
      <c r="E777" s="203" t="s">
        <v>55</v>
      </c>
      <c r="F777" s="281">
        <v>624</v>
      </c>
      <c r="G777" s="229"/>
      <c r="H777" s="235"/>
    </row>
    <row r="778" spans="2:8">
      <c r="B778" s="183" t="s">
        <v>1038</v>
      </c>
      <c r="C778" s="333"/>
      <c r="D778" s="334" t="s">
        <v>380</v>
      </c>
      <c r="E778" s="203"/>
      <c r="F778" s="291"/>
      <c r="G778" s="243"/>
      <c r="H778" s="242"/>
    </row>
    <row r="779" spans="2:8">
      <c r="B779" s="183" t="s">
        <v>1039</v>
      </c>
      <c r="C779" s="198" t="s">
        <v>929</v>
      </c>
      <c r="D779" s="332" t="s">
        <v>930</v>
      </c>
      <c r="E779" s="203" t="s">
        <v>55</v>
      </c>
      <c r="F779" s="281">
        <v>82</v>
      </c>
      <c r="G779" s="229"/>
      <c r="H779" s="235"/>
    </row>
    <row r="780" spans="2:8" ht="25.5">
      <c r="B780" s="183" t="s">
        <v>1040</v>
      </c>
      <c r="C780" s="198" t="s">
        <v>926</v>
      </c>
      <c r="D780" s="332" t="s">
        <v>1041</v>
      </c>
      <c r="E780" s="203" t="s">
        <v>55</v>
      </c>
      <c r="F780" s="287">
        <v>300</v>
      </c>
      <c r="G780" s="229"/>
      <c r="H780" s="235"/>
    </row>
    <row r="781" spans="2:8" ht="51">
      <c r="B781" s="183" t="s">
        <v>1042</v>
      </c>
      <c r="C781" s="198" t="s">
        <v>926</v>
      </c>
      <c r="D781" s="332" t="s">
        <v>1043</v>
      </c>
      <c r="E781" s="203" t="s">
        <v>55</v>
      </c>
      <c r="F781" s="287">
        <v>273</v>
      </c>
      <c r="G781" s="229"/>
      <c r="H781" s="235"/>
    </row>
    <row r="782" spans="2:8" ht="15">
      <c r="B782" s="186" t="s">
        <v>1044</v>
      </c>
      <c r="C782" s="312"/>
      <c r="D782" s="313" t="s">
        <v>112</v>
      </c>
      <c r="E782" s="314"/>
      <c r="F782" s="283"/>
      <c r="G782" s="233"/>
      <c r="H782" s="234"/>
    </row>
    <row r="783" spans="2:8">
      <c r="B783" s="183" t="s">
        <v>1045</v>
      </c>
      <c r="C783" s="198"/>
      <c r="D783" s="340" t="s">
        <v>1046</v>
      </c>
      <c r="E783" s="203"/>
      <c r="F783" s="281"/>
      <c r="G783" s="229"/>
      <c r="H783" s="235"/>
    </row>
    <row r="784" spans="2:8">
      <c r="B784" s="183" t="s">
        <v>1047</v>
      </c>
      <c r="C784" s="198" t="s">
        <v>1048</v>
      </c>
      <c r="D784" s="332" t="s">
        <v>1049</v>
      </c>
      <c r="E784" s="203" t="s">
        <v>55</v>
      </c>
      <c r="F784" s="281">
        <v>392</v>
      </c>
      <c r="G784" s="229"/>
      <c r="H784" s="235"/>
    </row>
    <row r="785" spans="2:8" ht="25.5">
      <c r="B785" s="183" t="s">
        <v>1050</v>
      </c>
      <c r="C785" s="203" t="s">
        <v>932</v>
      </c>
      <c r="D785" s="349" t="s">
        <v>1051</v>
      </c>
      <c r="E785" s="203" t="s">
        <v>55</v>
      </c>
      <c r="F785" s="281">
        <v>262</v>
      </c>
      <c r="G785" s="229"/>
      <c r="H785" s="235"/>
    </row>
    <row r="786" spans="2:8">
      <c r="B786" s="183" t="s">
        <v>1052</v>
      </c>
      <c r="C786" s="203" t="s">
        <v>932</v>
      </c>
      <c r="D786" s="349" t="s">
        <v>1053</v>
      </c>
      <c r="E786" s="203" t="s">
        <v>99</v>
      </c>
      <c r="F786" s="281">
        <v>2</v>
      </c>
      <c r="G786" s="229"/>
      <c r="H786" s="235"/>
    </row>
    <row r="787" spans="2:8" ht="25.5">
      <c r="B787" s="183" t="s">
        <v>1054</v>
      </c>
      <c r="C787" s="198"/>
      <c r="D787" s="332" t="s">
        <v>1055</v>
      </c>
      <c r="E787" s="203" t="s">
        <v>55</v>
      </c>
      <c r="F787" s="281">
        <v>64</v>
      </c>
      <c r="G787" s="229"/>
      <c r="H787" s="235"/>
    </row>
    <row r="788" spans="2:8">
      <c r="B788" s="183" t="s">
        <v>1056</v>
      </c>
      <c r="C788" s="198" t="s">
        <v>929</v>
      </c>
      <c r="D788" s="332" t="s">
        <v>1057</v>
      </c>
      <c r="E788" s="203" t="s">
        <v>55</v>
      </c>
      <c r="F788" s="281">
        <v>28</v>
      </c>
      <c r="G788" s="229"/>
      <c r="H788" s="235"/>
    </row>
    <row r="789" spans="2:8">
      <c r="B789" s="183" t="s">
        <v>1058</v>
      </c>
      <c r="C789" s="198" t="s">
        <v>929</v>
      </c>
      <c r="D789" s="332" t="s">
        <v>1059</v>
      </c>
      <c r="E789" s="203" t="s">
        <v>55</v>
      </c>
      <c r="F789" s="281">
        <v>12</v>
      </c>
      <c r="G789" s="229"/>
      <c r="H789" s="235"/>
    </row>
    <row r="790" spans="2:8">
      <c r="B790" s="183" t="s">
        <v>1060</v>
      </c>
      <c r="C790" s="198"/>
      <c r="D790" s="332" t="s">
        <v>1061</v>
      </c>
      <c r="E790" s="203" t="s">
        <v>99</v>
      </c>
      <c r="F790" s="281">
        <v>2</v>
      </c>
      <c r="G790" s="229"/>
      <c r="H790" s="235"/>
    </row>
    <row r="791" spans="2:8" ht="25.5">
      <c r="B791" s="183" t="s">
        <v>1062</v>
      </c>
      <c r="C791" s="203" t="s">
        <v>926</v>
      </c>
      <c r="D791" s="349" t="s">
        <v>939</v>
      </c>
      <c r="E791" s="203" t="s">
        <v>55</v>
      </c>
      <c r="F791" s="281">
        <f>14+32</f>
        <v>46</v>
      </c>
      <c r="G791" s="229"/>
      <c r="H791" s="235"/>
    </row>
    <row r="792" spans="2:8">
      <c r="B792" s="183" t="s">
        <v>1063</v>
      </c>
      <c r="C792" s="198"/>
      <c r="D792" s="334" t="s">
        <v>398</v>
      </c>
      <c r="E792" s="203"/>
      <c r="F792" s="281"/>
      <c r="G792" s="229"/>
      <c r="H792" s="235"/>
    </row>
    <row r="793" spans="2:8">
      <c r="B793" s="129" t="s">
        <v>1064</v>
      </c>
      <c r="C793" s="198" t="s">
        <v>929</v>
      </c>
      <c r="D793" s="332" t="s">
        <v>930</v>
      </c>
      <c r="E793" s="203" t="s">
        <v>55</v>
      </c>
      <c r="F793" s="281">
        <v>162</v>
      </c>
      <c r="G793" s="229"/>
      <c r="H793" s="235"/>
    </row>
    <row r="794" spans="2:8">
      <c r="B794" s="129" t="s">
        <v>1065</v>
      </c>
      <c r="C794" s="203" t="s">
        <v>932</v>
      </c>
      <c r="D794" s="349" t="s">
        <v>942</v>
      </c>
      <c r="E794" s="203" t="s">
        <v>55</v>
      </c>
      <c r="F794" s="281">
        <v>32</v>
      </c>
      <c r="G794" s="229"/>
      <c r="H794" s="235"/>
    </row>
    <row r="795" spans="2:8" ht="38.25">
      <c r="B795" s="129" t="s">
        <v>1066</v>
      </c>
      <c r="C795" s="198" t="s">
        <v>926</v>
      </c>
      <c r="D795" s="332" t="s">
        <v>1067</v>
      </c>
      <c r="E795" s="203" t="s">
        <v>55</v>
      </c>
      <c r="F795" s="281">
        <v>415</v>
      </c>
      <c r="G795" s="229"/>
      <c r="H795" s="235"/>
    </row>
    <row r="796" spans="2:8" ht="15">
      <c r="B796" s="186" t="s">
        <v>1068</v>
      </c>
      <c r="C796" s="312"/>
      <c r="D796" s="313" t="s">
        <v>407</v>
      </c>
      <c r="E796" s="314"/>
      <c r="F796" s="283"/>
      <c r="G796" s="233"/>
      <c r="H796" s="234"/>
    </row>
    <row r="797" spans="2:8">
      <c r="B797" s="183" t="s">
        <v>1069</v>
      </c>
      <c r="C797" s="198"/>
      <c r="D797" s="332" t="s">
        <v>1070</v>
      </c>
      <c r="E797" s="203"/>
      <c r="F797" s="281"/>
      <c r="G797" s="229"/>
      <c r="H797" s="235"/>
    </row>
    <row r="798" spans="2:8">
      <c r="B798" s="183" t="s">
        <v>1071</v>
      </c>
      <c r="C798" s="198"/>
      <c r="D798" s="332" t="s">
        <v>1072</v>
      </c>
      <c r="E798" s="203" t="s">
        <v>55</v>
      </c>
      <c r="F798" s="281">
        <v>122</v>
      </c>
      <c r="G798" s="229"/>
      <c r="H798" s="235"/>
    </row>
    <row r="799" spans="2:8" ht="25.5">
      <c r="B799" s="183" t="s">
        <v>1073</v>
      </c>
      <c r="C799" s="203" t="s">
        <v>932</v>
      </c>
      <c r="D799" s="349" t="s">
        <v>1051</v>
      </c>
      <c r="E799" s="203" t="s">
        <v>55</v>
      </c>
      <c r="F799" s="281">
        <v>86</v>
      </c>
      <c r="G799" s="229"/>
      <c r="H799" s="235"/>
    </row>
    <row r="800" spans="2:8">
      <c r="B800" s="183" t="s">
        <v>1074</v>
      </c>
      <c r="C800" s="198"/>
      <c r="D800" s="332" t="s">
        <v>607</v>
      </c>
      <c r="E800" s="203"/>
      <c r="F800" s="281"/>
      <c r="G800" s="229"/>
      <c r="H800" s="235"/>
    </row>
    <row r="801" spans="2:8" ht="25.5">
      <c r="B801" s="183" t="s">
        <v>1075</v>
      </c>
      <c r="C801" s="203" t="s">
        <v>926</v>
      </c>
      <c r="D801" s="349" t="s">
        <v>939</v>
      </c>
      <c r="E801" s="203" t="s">
        <v>55</v>
      </c>
      <c r="F801" s="281">
        <v>204</v>
      </c>
      <c r="G801" s="229"/>
      <c r="H801" s="235"/>
    </row>
    <row r="802" spans="2:8" ht="25.5">
      <c r="B802" s="183" t="s">
        <v>1076</v>
      </c>
      <c r="C802" s="203" t="s">
        <v>932</v>
      </c>
      <c r="D802" s="349" t="s">
        <v>1051</v>
      </c>
      <c r="E802" s="203" t="s">
        <v>55</v>
      </c>
      <c r="F802" s="281">
        <v>30</v>
      </c>
      <c r="G802" s="229"/>
      <c r="H802" s="235"/>
    </row>
    <row r="803" spans="2:8">
      <c r="B803" s="183" t="s">
        <v>1077</v>
      </c>
      <c r="C803" s="198"/>
      <c r="D803" s="332" t="s">
        <v>419</v>
      </c>
      <c r="E803" s="203"/>
      <c r="F803" s="281"/>
      <c r="G803" s="229"/>
      <c r="H803" s="235"/>
    </row>
    <row r="804" spans="2:8" ht="25.5">
      <c r="B804" s="183" t="s">
        <v>1078</v>
      </c>
      <c r="C804" s="203" t="s">
        <v>926</v>
      </c>
      <c r="D804" s="349" t="s">
        <v>939</v>
      </c>
      <c r="E804" s="203" t="s">
        <v>55</v>
      </c>
      <c r="F804" s="281">
        <v>7</v>
      </c>
      <c r="G804" s="229"/>
      <c r="H804" s="235"/>
    </row>
    <row r="805" spans="2:8" ht="13.5" thickBot="1">
      <c r="B805" s="183"/>
      <c r="C805" s="198"/>
      <c r="D805" s="332"/>
      <c r="E805" s="205"/>
      <c r="F805" s="281"/>
      <c r="G805" s="229"/>
      <c r="H805" s="235"/>
    </row>
    <row r="806" spans="2:8" ht="16.5" thickBot="1">
      <c r="B806" s="479" t="s">
        <v>1079</v>
      </c>
      <c r="C806" s="480" t="s">
        <v>1080</v>
      </c>
      <c r="D806" s="481" t="s">
        <v>1081</v>
      </c>
      <c r="E806" s="482"/>
      <c r="F806" s="483"/>
      <c r="G806" s="493"/>
      <c r="H806" s="280"/>
    </row>
    <row r="807" spans="2:8" ht="15">
      <c r="B807" s="486" t="s">
        <v>1082</v>
      </c>
      <c r="C807" s="487"/>
      <c r="D807" s="488" t="s">
        <v>133</v>
      </c>
      <c r="E807" s="489"/>
      <c r="F807" s="490"/>
      <c r="G807" s="491"/>
      <c r="H807" s="492"/>
    </row>
    <row r="808" spans="2:8">
      <c r="B808" s="129" t="s">
        <v>1083</v>
      </c>
      <c r="C808" s="198" t="s">
        <v>1084</v>
      </c>
      <c r="D808" s="332" t="s">
        <v>1085</v>
      </c>
      <c r="E808" s="203" t="s">
        <v>209</v>
      </c>
      <c r="F808" s="281">
        <v>175</v>
      </c>
      <c r="G808" s="229"/>
      <c r="H808" s="235"/>
    </row>
    <row r="809" spans="2:8">
      <c r="B809" s="129" t="s">
        <v>1086</v>
      </c>
      <c r="C809" s="198" t="s">
        <v>1084</v>
      </c>
      <c r="D809" s="332" t="s">
        <v>1087</v>
      </c>
      <c r="E809" s="203" t="s">
        <v>209</v>
      </c>
      <c r="F809" s="287">
        <v>15</v>
      </c>
      <c r="G809" s="229"/>
      <c r="H809" s="235"/>
    </row>
    <row r="810" spans="2:8">
      <c r="B810" s="129" t="s">
        <v>1088</v>
      </c>
      <c r="C810" s="198" t="s">
        <v>1089</v>
      </c>
      <c r="D810" s="332" t="s">
        <v>1090</v>
      </c>
      <c r="E810" s="203" t="s">
        <v>209</v>
      </c>
      <c r="F810" s="281">
        <v>36</v>
      </c>
      <c r="G810" s="229"/>
      <c r="H810" s="230"/>
    </row>
    <row r="811" spans="2:8" ht="15">
      <c r="B811" s="186" t="s">
        <v>1091</v>
      </c>
      <c r="C811" s="312"/>
      <c r="D811" s="313" t="s">
        <v>222</v>
      </c>
      <c r="E811" s="314"/>
      <c r="F811" s="283"/>
      <c r="G811" s="233"/>
      <c r="H811" s="234"/>
    </row>
    <row r="812" spans="2:8">
      <c r="B812" s="129" t="s">
        <v>1092</v>
      </c>
      <c r="C812" s="198"/>
      <c r="D812" s="330" t="s">
        <v>224</v>
      </c>
      <c r="E812" s="203"/>
      <c r="F812" s="300"/>
      <c r="G812" s="261"/>
      <c r="H812" s="262"/>
    </row>
    <row r="813" spans="2:8">
      <c r="B813" s="129" t="s">
        <v>1093</v>
      </c>
      <c r="C813" s="198" t="s">
        <v>1084</v>
      </c>
      <c r="D813" s="332" t="s">
        <v>1085</v>
      </c>
      <c r="E813" s="203" t="s">
        <v>209</v>
      </c>
      <c r="F813" s="281">
        <v>274</v>
      </c>
      <c r="G813" s="229"/>
      <c r="H813" s="235"/>
    </row>
    <row r="814" spans="2:8">
      <c r="B814" s="129" t="s">
        <v>1094</v>
      </c>
      <c r="C814" s="198" t="s">
        <v>1084</v>
      </c>
      <c r="D814" s="332" t="s">
        <v>1087</v>
      </c>
      <c r="E814" s="203" t="s">
        <v>209</v>
      </c>
      <c r="F814" s="287">
        <v>15</v>
      </c>
      <c r="G814" s="229"/>
      <c r="H814" s="235"/>
    </row>
    <row r="815" spans="2:8">
      <c r="B815" s="129" t="s">
        <v>1095</v>
      </c>
      <c r="C815" s="198" t="s">
        <v>1089</v>
      </c>
      <c r="D815" s="332" t="s">
        <v>1096</v>
      </c>
      <c r="E815" s="203" t="s">
        <v>209</v>
      </c>
      <c r="F815" s="281">
        <v>5</v>
      </c>
      <c r="G815" s="229"/>
      <c r="H815" s="235"/>
    </row>
    <row r="816" spans="2:8">
      <c r="B816" s="129" t="s">
        <v>1097</v>
      </c>
      <c r="C816" s="198"/>
      <c r="D816" s="330" t="s">
        <v>236</v>
      </c>
      <c r="E816" s="203"/>
      <c r="F816" s="300"/>
      <c r="G816" s="261"/>
      <c r="H816" s="258"/>
    </row>
    <row r="817" spans="2:8">
      <c r="B817" s="129" t="s">
        <v>1098</v>
      </c>
      <c r="C817" s="198" t="s">
        <v>1084</v>
      </c>
      <c r="D817" s="332" t="s">
        <v>1085</v>
      </c>
      <c r="E817" s="203" t="s">
        <v>209</v>
      </c>
      <c r="F817" s="281">
        <v>148</v>
      </c>
      <c r="G817" s="229"/>
      <c r="H817" s="235"/>
    </row>
    <row r="818" spans="2:8">
      <c r="B818" s="129" t="s">
        <v>1099</v>
      </c>
      <c r="C818" s="198" t="s">
        <v>1084</v>
      </c>
      <c r="D818" s="332" t="s">
        <v>1087</v>
      </c>
      <c r="E818" s="203" t="s">
        <v>209</v>
      </c>
      <c r="F818" s="287">
        <v>20</v>
      </c>
      <c r="G818" s="229"/>
      <c r="H818" s="235"/>
    </row>
    <row r="819" spans="2:8">
      <c r="B819" s="129" t="s">
        <v>1100</v>
      </c>
      <c r="C819" s="198"/>
      <c r="D819" s="330" t="s">
        <v>243</v>
      </c>
      <c r="E819" s="203"/>
      <c r="F819" s="287"/>
      <c r="G819" s="243"/>
      <c r="H819" s="242"/>
    </row>
    <row r="820" spans="2:8">
      <c r="B820" s="129" t="s">
        <v>1101</v>
      </c>
      <c r="C820" s="198" t="s">
        <v>1084</v>
      </c>
      <c r="D820" s="332" t="s">
        <v>1085</v>
      </c>
      <c r="E820" s="203" t="s">
        <v>209</v>
      </c>
      <c r="F820" s="281">
        <v>165</v>
      </c>
      <c r="G820" s="229"/>
      <c r="H820" s="242"/>
    </row>
    <row r="821" spans="2:8">
      <c r="B821" s="129" t="s">
        <v>1102</v>
      </c>
      <c r="C821" s="198" t="s">
        <v>1084</v>
      </c>
      <c r="D821" s="332" t="s">
        <v>1087</v>
      </c>
      <c r="E821" s="203" t="s">
        <v>209</v>
      </c>
      <c r="F821" s="281">
        <v>15</v>
      </c>
      <c r="G821" s="229"/>
      <c r="H821" s="242"/>
    </row>
    <row r="822" spans="2:8">
      <c r="B822" s="129" t="s">
        <v>1103</v>
      </c>
      <c r="C822" s="198" t="s">
        <v>1089</v>
      </c>
      <c r="D822" s="332" t="s">
        <v>1096</v>
      </c>
      <c r="E822" s="203" t="s">
        <v>209</v>
      </c>
      <c r="F822" s="281">
        <v>165</v>
      </c>
      <c r="G822" s="229"/>
      <c r="H822" s="242"/>
    </row>
    <row r="823" spans="2:8">
      <c r="B823" s="129" t="s">
        <v>1104</v>
      </c>
      <c r="C823" s="333"/>
      <c r="D823" s="336" t="s">
        <v>860</v>
      </c>
      <c r="E823" s="203"/>
      <c r="F823" s="287"/>
      <c r="G823" s="243"/>
      <c r="H823" s="244"/>
    </row>
    <row r="824" spans="2:8">
      <c r="B824" s="129" t="s">
        <v>1105</v>
      </c>
      <c r="C824" s="198" t="s">
        <v>1084</v>
      </c>
      <c r="D824" s="332" t="s">
        <v>1085</v>
      </c>
      <c r="E824" s="203" t="s">
        <v>209</v>
      </c>
      <c r="F824" s="281">
        <v>4</v>
      </c>
      <c r="G824" s="229"/>
      <c r="H824" s="235"/>
    </row>
    <row r="825" spans="2:8">
      <c r="B825" s="129" t="s">
        <v>1106</v>
      </c>
      <c r="C825" s="198" t="s">
        <v>1084</v>
      </c>
      <c r="D825" s="332" t="s">
        <v>1107</v>
      </c>
      <c r="E825" s="203" t="s">
        <v>209</v>
      </c>
      <c r="F825" s="281">
        <v>75</v>
      </c>
      <c r="G825" s="229"/>
      <c r="H825" s="235"/>
    </row>
    <row r="826" spans="2:8">
      <c r="B826" s="129" t="s">
        <v>1108</v>
      </c>
      <c r="C826" s="198" t="s">
        <v>1089</v>
      </c>
      <c r="D826" s="332" t="s">
        <v>1096</v>
      </c>
      <c r="E826" s="203" t="s">
        <v>209</v>
      </c>
      <c r="F826" s="281">
        <v>70</v>
      </c>
      <c r="G826" s="229"/>
      <c r="H826" s="235"/>
    </row>
    <row r="827" spans="2:8" ht="15">
      <c r="B827" s="186" t="s">
        <v>1109</v>
      </c>
      <c r="C827" s="312"/>
      <c r="D827" s="313" t="s">
        <v>224</v>
      </c>
      <c r="E827" s="314"/>
      <c r="F827" s="283"/>
      <c r="G827" s="233"/>
      <c r="H827" s="234"/>
    </row>
    <row r="828" spans="2:8">
      <c r="B828" s="183" t="s">
        <v>1110</v>
      </c>
      <c r="C828" s="333"/>
      <c r="D828" s="334" t="s">
        <v>679</v>
      </c>
      <c r="E828" s="203"/>
      <c r="F828" s="291"/>
      <c r="G828" s="243"/>
      <c r="H828" s="242"/>
    </row>
    <row r="829" spans="2:8">
      <c r="B829" s="183" t="s">
        <v>1111</v>
      </c>
      <c r="C829" s="198" t="s">
        <v>1084</v>
      </c>
      <c r="D829" s="332" t="s">
        <v>1085</v>
      </c>
      <c r="E829" s="203" t="s">
        <v>209</v>
      </c>
      <c r="F829" s="281">
        <v>210</v>
      </c>
      <c r="G829" s="229"/>
      <c r="H829" s="235"/>
    </row>
    <row r="830" spans="2:8">
      <c r="B830" s="183" t="s">
        <v>1112</v>
      </c>
      <c r="C830" s="198" t="s">
        <v>1084</v>
      </c>
      <c r="D830" s="332" t="s">
        <v>1087</v>
      </c>
      <c r="E830" s="203" t="s">
        <v>209</v>
      </c>
      <c r="F830" s="287">
        <v>15</v>
      </c>
      <c r="G830" s="229"/>
      <c r="H830" s="235"/>
    </row>
    <row r="831" spans="2:8">
      <c r="B831" s="183" t="s">
        <v>1113</v>
      </c>
      <c r="C831" s="198" t="s">
        <v>1114</v>
      </c>
      <c r="D831" s="332" t="s">
        <v>1115</v>
      </c>
      <c r="E831" s="203" t="s">
        <v>209</v>
      </c>
      <c r="F831" s="287">
        <v>124</v>
      </c>
      <c r="G831" s="229"/>
      <c r="H831" s="235"/>
    </row>
    <row r="832" spans="2:8">
      <c r="B832" s="183" t="s">
        <v>1116</v>
      </c>
      <c r="C832" s="333"/>
      <c r="D832" s="334" t="s">
        <v>264</v>
      </c>
      <c r="E832" s="203"/>
      <c r="F832" s="291"/>
      <c r="G832" s="243"/>
      <c r="H832" s="242"/>
    </row>
    <row r="833" spans="2:8">
      <c r="B833" s="183" t="s">
        <v>1117</v>
      </c>
      <c r="C833" s="198" t="s">
        <v>1084</v>
      </c>
      <c r="D833" s="332" t="s">
        <v>1085</v>
      </c>
      <c r="E833" s="203" t="s">
        <v>209</v>
      </c>
      <c r="F833" s="281">
        <v>144</v>
      </c>
      <c r="G833" s="229"/>
      <c r="H833" s="235"/>
    </row>
    <row r="834" spans="2:8">
      <c r="B834" s="183" t="s">
        <v>1118</v>
      </c>
      <c r="C834" s="198" t="s">
        <v>1084</v>
      </c>
      <c r="D834" s="332" t="s">
        <v>1087</v>
      </c>
      <c r="E834" s="203" t="s">
        <v>209</v>
      </c>
      <c r="F834" s="287">
        <v>15</v>
      </c>
      <c r="G834" s="229"/>
      <c r="H834" s="235"/>
    </row>
    <row r="835" spans="2:8">
      <c r="B835" s="183" t="s">
        <v>1119</v>
      </c>
      <c r="C835" s="333"/>
      <c r="D835" s="334" t="s">
        <v>272</v>
      </c>
      <c r="E835" s="203"/>
      <c r="F835" s="291"/>
      <c r="G835" s="243"/>
      <c r="H835" s="242"/>
    </row>
    <row r="836" spans="2:8">
      <c r="B836" s="183" t="s">
        <v>1120</v>
      </c>
      <c r="C836" s="198" t="s">
        <v>1084</v>
      </c>
      <c r="D836" s="332" t="s">
        <v>1085</v>
      </c>
      <c r="E836" s="203" t="s">
        <v>209</v>
      </c>
      <c r="F836" s="281">
        <v>163</v>
      </c>
      <c r="G836" s="229"/>
      <c r="H836" s="235"/>
    </row>
    <row r="837" spans="2:8">
      <c r="B837" s="183" t="s">
        <v>1121</v>
      </c>
      <c r="C837" s="198" t="s">
        <v>1084</v>
      </c>
      <c r="D837" s="332" t="s">
        <v>1087</v>
      </c>
      <c r="E837" s="203" t="s">
        <v>209</v>
      </c>
      <c r="F837" s="287">
        <v>15</v>
      </c>
      <c r="G837" s="229"/>
      <c r="H837" s="235"/>
    </row>
    <row r="838" spans="2:8">
      <c r="B838" s="183" t="s">
        <v>1122</v>
      </c>
      <c r="C838" s="333"/>
      <c r="D838" s="334" t="s">
        <v>279</v>
      </c>
      <c r="E838" s="203"/>
      <c r="F838" s="291"/>
      <c r="G838" s="243"/>
      <c r="H838" s="242"/>
    </row>
    <row r="839" spans="2:8">
      <c r="B839" s="183" t="s">
        <v>1123</v>
      </c>
      <c r="C839" s="198" t="s">
        <v>1084</v>
      </c>
      <c r="D839" s="332" t="s">
        <v>1085</v>
      </c>
      <c r="E839" s="203" t="s">
        <v>209</v>
      </c>
      <c r="F839" s="281">
        <v>163</v>
      </c>
      <c r="G839" s="229"/>
      <c r="H839" s="235"/>
    </row>
    <row r="840" spans="2:8">
      <c r="B840" s="183" t="s">
        <v>1124</v>
      </c>
      <c r="C840" s="198" t="s">
        <v>1084</v>
      </c>
      <c r="D840" s="332" t="s">
        <v>1087</v>
      </c>
      <c r="E840" s="203" t="s">
        <v>209</v>
      </c>
      <c r="F840" s="287">
        <v>15</v>
      </c>
      <c r="G840" s="229"/>
      <c r="H840" s="235"/>
    </row>
    <row r="841" spans="2:8">
      <c r="B841" s="183" t="s">
        <v>1125</v>
      </c>
      <c r="C841" s="333"/>
      <c r="D841" s="334" t="s">
        <v>286</v>
      </c>
      <c r="E841" s="203"/>
      <c r="F841" s="291"/>
      <c r="G841" s="243"/>
      <c r="H841" s="242"/>
    </row>
    <row r="842" spans="2:8">
      <c r="B842" s="183" t="s">
        <v>1126</v>
      </c>
      <c r="C842" s="198" t="s">
        <v>1084</v>
      </c>
      <c r="D842" s="332" t="s">
        <v>1085</v>
      </c>
      <c r="E842" s="203" t="s">
        <v>209</v>
      </c>
      <c r="F842" s="281">
        <v>163</v>
      </c>
      <c r="G842" s="229"/>
      <c r="H842" s="235"/>
    </row>
    <row r="843" spans="2:8">
      <c r="B843" s="183" t="s">
        <v>1127</v>
      </c>
      <c r="C843" s="198" t="s">
        <v>1084</v>
      </c>
      <c r="D843" s="332" t="s">
        <v>1087</v>
      </c>
      <c r="E843" s="203" t="s">
        <v>209</v>
      </c>
      <c r="F843" s="287">
        <v>15</v>
      </c>
      <c r="G843" s="229"/>
      <c r="H843" s="235"/>
    </row>
    <row r="844" spans="2:8">
      <c r="B844" s="183" t="s">
        <v>1128</v>
      </c>
      <c r="C844" s="333"/>
      <c r="D844" s="334" t="s">
        <v>293</v>
      </c>
      <c r="E844" s="203"/>
      <c r="F844" s="291"/>
      <c r="G844" s="243"/>
      <c r="H844" s="242"/>
    </row>
    <row r="845" spans="2:8">
      <c r="B845" s="183" t="s">
        <v>1129</v>
      </c>
      <c r="C845" s="198" t="s">
        <v>1084</v>
      </c>
      <c r="D845" s="332" t="s">
        <v>1085</v>
      </c>
      <c r="E845" s="203" t="s">
        <v>209</v>
      </c>
      <c r="F845" s="281">
        <v>188</v>
      </c>
      <c r="G845" s="229"/>
      <c r="H845" s="235"/>
    </row>
    <row r="846" spans="2:8">
      <c r="B846" s="183" t="s">
        <v>1130</v>
      </c>
      <c r="C846" s="198"/>
      <c r="D846" s="334" t="s">
        <v>719</v>
      </c>
      <c r="E846" s="203"/>
      <c r="F846" s="291"/>
      <c r="G846" s="243"/>
      <c r="H846" s="242"/>
    </row>
    <row r="847" spans="2:8">
      <c r="B847" s="183" t="s">
        <v>1131</v>
      </c>
      <c r="C847" s="198" t="s">
        <v>1084</v>
      </c>
      <c r="D847" s="332" t="s">
        <v>1085</v>
      </c>
      <c r="E847" s="203" t="s">
        <v>209</v>
      </c>
      <c r="F847" s="281">
        <v>8</v>
      </c>
      <c r="G847" s="229"/>
      <c r="H847" s="235"/>
    </row>
    <row r="848" spans="2:8">
      <c r="B848" s="183" t="s">
        <v>1132</v>
      </c>
      <c r="C848" s="198" t="s">
        <v>1089</v>
      </c>
      <c r="D848" s="332" t="s">
        <v>1096</v>
      </c>
      <c r="E848" s="203" t="s">
        <v>209</v>
      </c>
      <c r="F848" s="281">
        <v>196</v>
      </c>
      <c r="G848" s="229"/>
      <c r="H848" s="235"/>
    </row>
    <row r="849" spans="2:8" ht="15">
      <c r="B849" s="186" t="s">
        <v>1133</v>
      </c>
      <c r="C849" s="312"/>
      <c r="D849" s="313" t="s">
        <v>236</v>
      </c>
      <c r="E849" s="314"/>
      <c r="F849" s="283"/>
      <c r="G849" s="233"/>
      <c r="H849" s="234"/>
    </row>
    <row r="850" spans="2:8">
      <c r="B850" s="183" t="s">
        <v>1110</v>
      </c>
      <c r="C850" s="333"/>
      <c r="D850" s="334" t="s">
        <v>679</v>
      </c>
      <c r="E850" s="203"/>
      <c r="F850" s="291"/>
      <c r="G850" s="243"/>
      <c r="H850" s="242"/>
    </row>
    <row r="851" spans="2:8">
      <c r="B851" s="183" t="s">
        <v>1111</v>
      </c>
      <c r="C851" s="198" t="s">
        <v>1084</v>
      </c>
      <c r="D851" s="332" t="s">
        <v>1085</v>
      </c>
      <c r="E851" s="203" t="s">
        <v>209</v>
      </c>
      <c r="F851" s="281">
        <v>102</v>
      </c>
      <c r="G851" s="229"/>
      <c r="H851" s="235"/>
    </row>
    <row r="852" spans="2:8">
      <c r="B852" s="183" t="s">
        <v>1112</v>
      </c>
      <c r="C852" s="198" t="s">
        <v>1084</v>
      </c>
      <c r="D852" s="332" t="s">
        <v>1087</v>
      </c>
      <c r="E852" s="203" t="s">
        <v>209</v>
      </c>
      <c r="F852" s="287">
        <v>10</v>
      </c>
      <c r="G852" s="229"/>
      <c r="H852" s="235"/>
    </row>
    <row r="853" spans="2:8">
      <c r="B853" s="183" t="s">
        <v>1116</v>
      </c>
      <c r="C853" s="333"/>
      <c r="D853" s="334" t="s">
        <v>264</v>
      </c>
      <c r="E853" s="203"/>
      <c r="F853" s="291"/>
      <c r="G853" s="243"/>
      <c r="H853" s="242"/>
    </row>
    <row r="854" spans="2:8">
      <c r="B854" s="183" t="s">
        <v>1117</v>
      </c>
      <c r="C854" s="198" t="s">
        <v>1084</v>
      </c>
      <c r="D854" s="332" t="s">
        <v>1085</v>
      </c>
      <c r="E854" s="203" t="s">
        <v>209</v>
      </c>
      <c r="F854" s="281">
        <v>102</v>
      </c>
      <c r="G854" s="229"/>
      <c r="H854" s="235"/>
    </row>
    <row r="855" spans="2:8">
      <c r="B855" s="183" t="s">
        <v>1118</v>
      </c>
      <c r="C855" s="198" t="s">
        <v>1084</v>
      </c>
      <c r="D855" s="332" t="s">
        <v>1087</v>
      </c>
      <c r="E855" s="203" t="s">
        <v>209</v>
      </c>
      <c r="F855" s="287">
        <v>10</v>
      </c>
      <c r="G855" s="229"/>
      <c r="H855" s="235"/>
    </row>
    <row r="856" spans="2:8">
      <c r="B856" s="183" t="s">
        <v>1119</v>
      </c>
      <c r="C856" s="333"/>
      <c r="D856" s="334" t="s">
        <v>272</v>
      </c>
      <c r="E856" s="203"/>
      <c r="F856" s="291"/>
      <c r="G856" s="243"/>
      <c r="H856" s="242"/>
    </row>
    <row r="857" spans="2:8">
      <c r="B857" s="183" t="s">
        <v>1120</v>
      </c>
      <c r="C857" s="198" t="s">
        <v>1084</v>
      </c>
      <c r="D857" s="332" t="s">
        <v>1085</v>
      </c>
      <c r="E857" s="203" t="s">
        <v>209</v>
      </c>
      <c r="F857" s="281">
        <v>102</v>
      </c>
      <c r="G857" s="229"/>
      <c r="H857" s="235"/>
    </row>
    <row r="858" spans="2:8">
      <c r="B858" s="183" t="s">
        <v>1121</v>
      </c>
      <c r="C858" s="198" t="s">
        <v>1084</v>
      </c>
      <c r="D858" s="332" t="s">
        <v>1087</v>
      </c>
      <c r="E858" s="203" t="s">
        <v>209</v>
      </c>
      <c r="F858" s="287">
        <v>10</v>
      </c>
      <c r="G858" s="229"/>
      <c r="H858" s="235"/>
    </row>
    <row r="859" spans="2:8">
      <c r="B859" s="183" t="s">
        <v>1122</v>
      </c>
      <c r="C859" s="333"/>
      <c r="D859" s="334" t="s">
        <v>279</v>
      </c>
      <c r="E859" s="203"/>
      <c r="F859" s="291"/>
      <c r="G859" s="243"/>
      <c r="H859" s="242"/>
    </row>
    <row r="860" spans="2:8">
      <c r="B860" s="183" t="s">
        <v>1123</v>
      </c>
      <c r="C860" s="198" t="s">
        <v>1084</v>
      </c>
      <c r="D860" s="332" t="s">
        <v>1085</v>
      </c>
      <c r="E860" s="203" t="s">
        <v>209</v>
      </c>
      <c r="F860" s="281">
        <v>102</v>
      </c>
      <c r="G860" s="229"/>
      <c r="H860" s="235"/>
    </row>
    <row r="861" spans="2:8">
      <c r="B861" s="183" t="s">
        <v>1124</v>
      </c>
      <c r="C861" s="198" t="s">
        <v>1084</v>
      </c>
      <c r="D861" s="332" t="s">
        <v>1087</v>
      </c>
      <c r="E861" s="203" t="s">
        <v>209</v>
      </c>
      <c r="F861" s="287">
        <v>10</v>
      </c>
      <c r="G861" s="229"/>
      <c r="H861" s="235"/>
    </row>
    <row r="862" spans="2:8">
      <c r="B862" s="183" t="s">
        <v>1125</v>
      </c>
      <c r="C862" s="333"/>
      <c r="D862" s="334" t="s">
        <v>286</v>
      </c>
      <c r="E862" s="203"/>
      <c r="F862" s="291"/>
      <c r="G862" s="243"/>
      <c r="H862" s="242"/>
    </row>
    <row r="863" spans="2:8">
      <c r="B863" s="183" t="s">
        <v>1126</v>
      </c>
      <c r="C863" s="198" t="s">
        <v>1084</v>
      </c>
      <c r="D863" s="332" t="s">
        <v>1085</v>
      </c>
      <c r="E863" s="203" t="s">
        <v>209</v>
      </c>
      <c r="F863" s="281">
        <v>102</v>
      </c>
      <c r="G863" s="229"/>
      <c r="H863" s="235"/>
    </row>
    <row r="864" spans="2:8">
      <c r="B864" s="183" t="s">
        <v>1127</v>
      </c>
      <c r="C864" s="198" t="s">
        <v>1084</v>
      </c>
      <c r="D864" s="332" t="s">
        <v>1087</v>
      </c>
      <c r="E864" s="203" t="s">
        <v>209</v>
      </c>
      <c r="F864" s="287">
        <v>10</v>
      </c>
      <c r="G864" s="229"/>
      <c r="H864" s="235"/>
    </row>
    <row r="865" spans="2:8">
      <c r="B865" s="183" t="s">
        <v>1128</v>
      </c>
      <c r="C865" s="333"/>
      <c r="D865" s="334" t="s">
        <v>293</v>
      </c>
      <c r="E865" s="203"/>
      <c r="F865" s="291"/>
      <c r="G865" s="243"/>
      <c r="H865" s="242"/>
    </row>
    <row r="866" spans="2:8">
      <c r="B866" s="183" t="s">
        <v>1129</v>
      </c>
      <c r="C866" s="198" t="s">
        <v>1084</v>
      </c>
      <c r="D866" s="332" t="s">
        <v>1085</v>
      </c>
      <c r="E866" s="203" t="s">
        <v>209</v>
      </c>
      <c r="F866" s="281">
        <v>102</v>
      </c>
      <c r="G866" s="229"/>
      <c r="H866" s="235"/>
    </row>
    <row r="867" spans="2:8">
      <c r="B867" s="183" t="s">
        <v>1130</v>
      </c>
      <c r="C867" s="198"/>
      <c r="D867" s="334" t="s">
        <v>719</v>
      </c>
      <c r="E867" s="203"/>
      <c r="F867" s="291"/>
      <c r="G867" s="243"/>
      <c r="H867" s="242"/>
    </row>
    <row r="868" spans="2:8">
      <c r="B868" s="183" t="s">
        <v>1131</v>
      </c>
      <c r="C868" s="198" t="s">
        <v>1084</v>
      </c>
      <c r="D868" s="332" t="s">
        <v>1085</v>
      </c>
      <c r="E868" s="203" t="s">
        <v>209</v>
      </c>
      <c r="F868" s="281">
        <v>122</v>
      </c>
      <c r="G868" s="229"/>
      <c r="H868" s="235"/>
    </row>
    <row r="869" spans="2:8">
      <c r="B869" s="183" t="s">
        <v>1132</v>
      </c>
      <c r="C869" s="198" t="s">
        <v>1089</v>
      </c>
      <c r="D869" s="332" t="s">
        <v>1096</v>
      </c>
      <c r="E869" s="203" t="s">
        <v>209</v>
      </c>
      <c r="F869" s="281">
        <v>25</v>
      </c>
      <c r="G869" s="229"/>
      <c r="H869" s="235"/>
    </row>
    <row r="870" spans="2:8" ht="15">
      <c r="B870" s="186" t="s">
        <v>1134</v>
      </c>
      <c r="C870" s="312"/>
      <c r="D870" s="313" t="s">
        <v>243</v>
      </c>
      <c r="E870" s="314"/>
      <c r="F870" s="283"/>
      <c r="G870" s="233"/>
      <c r="H870" s="234"/>
    </row>
    <row r="871" spans="2:8">
      <c r="B871" s="183" t="s">
        <v>1135</v>
      </c>
      <c r="C871" s="333"/>
      <c r="D871" s="334" t="s">
        <v>679</v>
      </c>
      <c r="E871" s="203"/>
      <c r="F871" s="291"/>
      <c r="G871" s="243"/>
      <c r="H871" s="242"/>
    </row>
    <row r="872" spans="2:8">
      <c r="B872" s="183" t="s">
        <v>1136</v>
      </c>
      <c r="C872" s="198" t="s">
        <v>1084</v>
      </c>
      <c r="D872" s="332" t="s">
        <v>1085</v>
      </c>
      <c r="E872" s="203" t="s">
        <v>209</v>
      </c>
      <c r="F872" s="281">
        <v>180</v>
      </c>
      <c r="G872" s="229"/>
      <c r="H872" s="235"/>
    </row>
    <row r="873" spans="2:8">
      <c r="B873" s="183" t="s">
        <v>1137</v>
      </c>
      <c r="C873" s="198" t="s">
        <v>1084</v>
      </c>
      <c r="D873" s="332" t="s">
        <v>1087</v>
      </c>
      <c r="E873" s="203" t="s">
        <v>209</v>
      </c>
      <c r="F873" s="287">
        <v>15</v>
      </c>
      <c r="G873" s="229"/>
      <c r="H873" s="235"/>
    </row>
    <row r="874" spans="2:8">
      <c r="B874" s="183" t="s">
        <v>1138</v>
      </c>
      <c r="C874" s="333"/>
      <c r="D874" s="334" t="s">
        <v>264</v>
      </c>
      <c r="E874" s="203"/>
      <c r="F874" s="291"/>
      <c r="G874" s="243"/>
      <c r="H874" s="242"/>
    </row>
    <row r="875" spans="2:8">
      <c r="B875" s="183" t="s">
        <v>1139</v>
      </c>
      <c r="C875" s="198" t="s">
        <v>1084</v>
      </c>
      <c r="D875" s="332" t="s">
        <v>1085</v>
      </c>
      <c r="E875" s="203" t="s">
        <v>209</v>
      </c>
      <c r="F875" s="281">
        <v>120</v>
      </c>
      <c r="G875" s="229"/>
      <c r="H875" s="235"/>
    </row>
    <row r="876" spans="2:8">
      <c r="B876" s="183" t="s">
        <v>1140</v>
      </c>
      <c r="C876" s="198" t="s">
        <v>1084</v>
      </c>
      <c r="D876" s="332" t="s">
        <v>1087</v>
      </c>
      <c r="E876" s="203" t="s">
        <v>209</v>
      </c>
      <c r="F876" s="287">
        <v>10</v>
      </c>
      <c r="G876" s="229"/>
      <c r="H876" s="235"/>
    </row>
    <row r="877" spans="2:8">
      <c r="B877" s="183" t="s">
        <v>1141</v>
      </c>
      <c r="C877" s="333"/>
      <c r="D877" s="334" t="s">
        <v>272</v>
      </c>
      <c r="E877" s="203"/>
      <c r="F877" s="291"/>
      <c r="G877" s="243"/>
      <c r="H877" s="242"/>
    </row>
    <row r="878" spans="2:8">
      <c r="B878" s="183" t="s">
        <v>1142</v>
      </c>
      <c r="C878" s="198" t="s">
        <v>1084</v>
      </c>
      <c r="D878" s="332" t="s">
        <v>1085</v>
      </c>
      <c r="E878" s="203" t="s">
        <v>209</v>
      </c>
      <c r="F878" s="281">
        <v>120</v>
      </c>
      <c r="G878" s="229"/>
      <c r="H878" s="235"/>
    </row>
    <row r="879" spans="2:8">
      <c r="B879" s="183" t="s">
        <v>1143</v>
      </c>
      <c r="C879" s="198" t="s">
        <v>1084</v>
      </c>
      <c r="D879" s="332" t="s">
        <v>1087</v>
      </c>
      <c r="E879" s="203" t="s">
        <v>209</v>
      </c>
      <c r="F879" s="287">
        <v>10</v>
      </c>
      <c r="G879" s="229"/>
      <c r="H879" s="235"/>
    </row>
    <row r="880" spans="2:8">
      <c r="B880" s="183" t="s">
        <v>1144</v>
      </c>
      <c r="C880" s="333"/>
      <c r="D880" s="334" t="s">
        <v>279</v>
      </c>
      <c r="E880" s="203"/>
      <c r="F880" s="291"/>
      <c r="G880" s="243"/>
      <c r="H880" s="242"/>
    </row>
    <row r="881" spans="2:8">
      <c r="B881" s="183" t="s">
        <v>1145</v>
      </c>
      <c r="C881" s="198" t="s">
        <v>1084</v>
      </c>
      <c r="D881" s="332" t="s">
        <v>1085</v>
      </c>
      <c r="E881" s="203" t="s">
        <v>209</v>
      </c>
      <c r="F881" s="281">
        <v>120</v>
      </c>
      <c r="G881" s="229"/>
      <c r="H881" s="235"/>
    </row>
    <row r="882" spans="2:8">
      <c r="B882" s="183" t="s">
        <v>1146</v>
      </c>
      <c r="C882" s="198"/>
      <c r="D882" s="334" t="s">
        <v>1147</v>
      </c>
      <c r="E882" s="203"/>
      <c r="F882" s="291"/>
      <c r="G882" s="243"/>
      <c r="H882" s="242"/>
    </row>
    <row r="883" spans="2:8">
      <c r="B883" s="183" t="s">
        <v>1148</v>
      </c>
      <c r="C883" s="198" t="s">
        <v>1084</v>
      </c>
      <c r="D883" s="332" t="s">
        <v>1085</v>
      </c>
      <c r="E883" s="203" t="s">
        <v>209</v>
      </c>
      <c r="F883" s="281">
        <v>40</v>
      </c>
      <c r="G883" s="229"/>
      <c r="H883" s="235"/>
    </row>
    <row r="884" spans="2:8">
      <c r="B884" s="183" t="s">
        <v>1149</v>
      </c>
      <c r="C884" s="198" t="s">
        <v>1089</v>
      </c>
      <c r="D884" s="332" t="s">
        <v>1096</v>
      </c>
      <c r="E884" s="203" t="s">
        <v>209</v>
      </c>
      <c r="F884" s="281">
        <v>100</v>
      </c>
      <c r="G884" s="229"/>
      <c r="H884" s="235"/>
    </row>
    <row r="885" spans="2:8" ht="15">
      <c r="B885" s="186" t="s">
        <v>1150</v>
      </c>
      <c r="C885" s="312"/>
      <c r="D885" s="313" t="s">
        <v>112</v>
      </c>
      <c r="E885" s="314"/>
      <c r="F885" s="283"/>
      <c r="G885" s="233"/>
      <c r="H885" s="234"/>
    </row>
    <row r="886" spans="2:8">
      <c r="B886" s="183" t="s">
        <v>1151</v>
      </c>
      <c r="C886" s="333"/>
      <c r="D886" s="334" t="s">
        <v>1152</v>
      </c>
      <c r="E886" s="203"/>
      <c r="F886" s="291"/>
      <c r="G886" s="243"/>
      <c r="H886" s="244"/>
    </row>
    <row r="887" spans="2:8">
      <c r="B887" s="183" t="s">
        <v>1153</v>
      </c>
      <c r="C887" s="198" t="s">
        <v>1084</v>
      </c>
      <c r="D887" s="332" t="s">
        <v>1085</v>
      </c>
      <c r="E887" s="203" t="s">
        <v>209</v>
      </c>
      <c r="F887" s="281">
        <v>42</v>
      </c>
      <c r="G887" s="229"/>
      <c r="H887" s="235"/>
    </row>
    <row r="888" spans="2:8">
      <c r="B888" s="183" t="s">
        <v>1154</v>
      </c>
      <c r="C888" s="198" t="s">
        <v>1084</v>
      </c>
      <c r="D888" s="332" t="s">
        <v>1087</v>
      </c>
      <c r="E888" s="203" t="s">
        <v>209</v>
      </c>
      <c r="F888" s="281">
        <v>20</v>
      </c>
      <c r="G888" s="229"/>
      <c r="H888" s="235"/>
    </row>
    <row r="889" spans="2:8">
      <c r="B889" s="183" t="s">
        <v>1155</v>
      </c>
      <c r="C889" s="198" t="s">
        <v>1089</v>
      </c>
      <c r="D889" s="332" t="s">
        <v>1096</v>
      </c>
      <c r="E889" s="203" t="s">
        <v>209</v>
      </c>
      <c r="F889" s="281">
        <v>110</v>
      </c>
      <c r="G889" s="229"/>
      <c r="H889" s="235"/>
    </row>
    <row r="890" spans="2:8">
      <c r="B890" s="183" t="s">
        <v>1156</v>
      </c>
      <c r="C890" s="198" t="s">
        <v>1114</v>
      </c>
      <c r="D890" s="332" t="s">
        <v>1115</v>
      </c>
      <c r="E890" s="203" t="s">
        <v>209</v>
      </c>
      <c r="F890" s="281">
        <v>142</v>
      </c>
      <c r="G890" s="229"/>
      <c r="H890" s="235"/>
    </row>
    <row r="891" spans="2:8">
      <c r="B891" s="183" t="s">
        <v>1157</v>
      </c>
      <c r="C891" s="333"/>
      <c r="D891" s="334" t="s">
        <v>398</v>
      </c>
      <c r="E891" s="203"/>
      <c r="F891" s="287"/>
      <c r="G891" s="243"/>
      <c r="H891" s="242"/>
    </row>
    <row r="892" spans="2:8">
      <c r="B892" s="183" t="s">
        <v>1158</v>
      </c>
      <c r="C892" s="198" t="s">
        <v>1084</v>
      </c>
      <c r="D892" s="332" t="s">
        <v>1085</v>
      </c>
      <c r="E892" s="203" t="s">
        <v>209</v>
      </c>
      <c r="F892" s="281">
        <v>68</v>
      </c>
      <c r="G892" s="229"/>
      <c r="H892" s="235"/>
    </row>
    <row r="893" spans="2:8">
      <c r="B893" s="183" t="s">
        <v>1159</v>
      </c>
      <c r="C893" s="198" t="s">
        <v>1084</v>
      </c>
      <c r="D893" s="332" t="s">
        <v>1087</v>
      </c>
      <c r="E893" s="203" t="s">
        <v>209</v>
      </c>
      <c r="F893" s="281">
        <v>6</v>
      </c>
      <c r="G893" s="229"/>
      <c r="H893" s="235"/>
    </row>
    <row r="894" spans="2:8" ht="15">
      <c r="B894" s="186" t="s">
        <v>1160</v>
      </c>
      <c r="C894" s="312"/>
      <c r="D894" s="313" t="s">
        <v>407</v>
      </c>
      <c r="E894" s="314"/>
      <c r="F894" s="283"/>
      <c r="G894" s="233"/>
      <c r="H894" s="234"/>
    </row>
    <row r="895" spans="2:8">
      <c r="B895" s="183" t="s">
        <v>1161</v>
      </c>
      <c r="C895" s="198"/>
      <c r="D895" s="332" t="s">
        <v>818</v>
      </c>
      <c r="E895" s="203"/>
      <c r="F895" s="296"/>
      <c r="G895" s="231"/>
      <c r="H895" s="251"/>
    </row>
    <row r="896" spans="2:8">
      <c r="B896" s="183" t="s">
        <v>1162</v>
      </c>
      <c r="C896" s="198"/>
      <c r="D896" s="332" t="s">
        <v>1163</v>
      </c>
      <c r="E896" s="203" t="s">
        <v>209</v>
      </c>
      <c r="F896" s="281">
        <v>69</v>
      </c>
      <c r="G896" s="229"/>
      <c r="H896" s="235"/>
    </row>
    <row r="897" spans="2:8">
      <c r="B897" s="183" t="s">
        <v>1164</v>
      </c>
      <c r="C897" s="198"/>
      <c r="D897" s="332" t="s">
        <v>607</v>
      </c>
      <c r="E897" s="203"/>
      <c r="F897" s="281"/>
      <c r="G897" s="229"/>
      <c r="H897" s="235"/>
    </row>
    <row r="898" spans="2:8">
      <c r="B898" s="183" t="s">
        <v>1165</v>
      </c>
      <c r="C898" s="198" t="s">
        <v>1089</v>
      </c>
      <c r="D898" s="332" t="s">
        <v>1096</v>
      </c>
      <c r="E898" s="203" t="s">
        <v>209</v>
      </c>
      <c r="F898" s="281">
        <v>46</v>
      </c>
      <c r="G898" s="229"/>
      <c r="H898" s="235"/>
    </row>
    <row r="899" spans="2:8">
      <c r="B899" s="183" t="s">
        <v>1166</v>
      </c>
      <c r="C899" s="355"/>
      <c r="D899" s="356" t="s">
        <v>419</v>
      </c>
      <c r="E899" s="203"/>
      <c r="F899" s="296"/>
      <c r="G899" s="231"/>
      <c r="H899" s="251"/>
    </row>
    <row r="900" spans="2:8" ht="13.5" thickBot="1">
      <c r="B900" s="183" t="s">
        <v>1167</v>
      </c>
      <c r="C900" s="198" t="s">
        <v>1089</v>
      </c>
      <c r="D900" s="332" t="s">
        <v>1096</v>
      </c>
      <c r="E900" s="203" t="s">
        <v>209</v>
      </c>
      <c r="F900" s="281">
        <v>9</v>
      </c>
      <c r="G900" s="229"/>
      <c r="H900" s="235"/>
    </row>
    <row r="901" spans="2:8" ht="16.5" thickBot="1">
      <c r="B901" s="479" t="s">
        <v>1168</v>
      </c>
      <c r="C901" s="480" t="s">
        <v>1169</v>
      </c>
      <c r="D901" s="481" t="s">
        <v>1170</v>
      </c>
      <c r="E901" s="482"/>
      <c r="F901" s="483"/>
      <c r="G901" s="493"/>
      <c r="H901" s="280"/>
    </row>
    <row r="902" spans="2:8" ht="15">
      <c r="B902" s="486" t="s">
        <v>1171</v>
      </c>
      <c r="C902" s="487"/>
      <c r="D902" s="488" t="s">
        <v>133</v>
      </c>
      <c r="E902" s="489"/>
      <c r="F902" s="490"/>
      <c r="G902" s="491"/>
      <c r="H902" s="492"/>
    </row>
    <row r="903" spans="2:8">
      <c r="B903" s="129" t="s">
        <v>1172</v>
      </c>
      <c r="C903" s="198" t="s">
        <v>1173</v>
      </c>
      <c r="D903" s="332" t="s">
        <v>1174</v>
      </c>
      <c r="E903" s="203" t="s">
        <v>55</v>
      </c>
      <c r="F903" s="287">
        <f>(56+14.2)/2.6 *2.7</f>
        <v>72.900000000000006</v>
      </c>
      <c r="G903" s="265"/>
      <c r="H903" s="266"/>
    </row>
    <row r="904" spans="2:8">
      <c r="B904" s="129" t="s">
        <v>1175</v>
      </c>
      <c r="C904" s="198" t="s">
        <v>1176</v>
      </c>
      <c r="D904" s="332" t="s">
        <v>1177</v>
      </c>
      <c r="E904" s="203" t="s">
        <v>209</v>
      </c>
      <c r="F904" s="287">
        <v>1</v>
      </c>
      <c r="G904" s="265"/>
      <c r="H904" s="266"/>
    </row>
    <row r="905" spans="2:8">
      <c r="B905" s="129" t="s">
        <v>1178</v>
      </c>
      <c r="C905" s="198" t="s">
        <v>1176</v>
      </c>
      <c r="D905" s="332" t="s">
        <v>1179</v>
      </c>
      <c r="E905" s="203" t="s">
        <v>209</v>
      </c>
      <c r="F905" s="287">
        <f>+(1+0.55)*2</f>
        <v>3.1</v>
      </c>
      <c r="G905" s="265"/>
      <c r="H905" s="266"/>
    </row>
    <row r="906" spans="2:8">
      <c r="B906" s="129" t="s">
        <v>1180</v>
      </c>
      <c r="C906" s="198" t="s">
        <v>1176</v>
      </c>
      <c r="D906" s="332" t="s">
        <v>1181</v>
      </c>
      <c r="E906" s="203" t="s">
        <v>209</v>
      </c>
      <c r="F906" s="287">
        <f>+(1+0.55)*2</f>
        <v>3.1</v>
      </c>
      <c r="G906" s="265"/>
      <c r="H906" s="266"/>
    </row>
    <row r="907" spans="2:8">
      <c r="B907" s="129" t="s">
        <v>1182</v>
      </c>
      <c r="C907" s="198" t="s">
        <v>1176</v>
      </c>
      <c r="D907" s="332" t="s">
        <v>1183</v>
      </c>
      <c r="E907" s="203" t="s">
        <v>55</v>
      </c>
      <c r="F907" s="287">
        <f>0.55*2+1.12</f>
        <v>2.2200000000000002</v>
      </c>
      <c r="G907" s="265"/>
      <c r="H907" s="266"/>
    </row>
    <row r="908" spans="2:8">
      <c r="B908" s="129" t="s">
        <v>1184</v>
      </c>
      <c r="C908" s="198" t="s">
        <v>1176</v>
      </c>
      <c r="D908" s="332" t="s">
        <v>1185</v>
      </c>
      <c r="E908" s="203" t="s">
        <v>99</v>
      </c>
      <c r="F908" s="287">
        <v>1</v>
      </c>
      <c r="G908" s="265"/>
      <c r="H908" s="266"/>
    </row>
    <row r="909" spans="2:8" ht="15">
      <c r="B909" s="186" t="s">
        <v>1186</v>
      </c>
      <c r="C909" s="312"/>
      <c r="D909" s="313" t="s">
        <v>1187</v>
      </c>
      <c r="E909" s="314"/>
      <c r="F909" s="283"/>
      <c r="G909" s="233"/>
      <c r="H909" s="234"/>
    </row>
    <row r="910" spans="2:8">
      <c r="B910" s="129" t="s">
        <v>1188</v>
      </c>
      <c r="C910" s="198"/>
      <c r="D910" s="345" t="s">
        <v>224</v>
      </c>
      <c r="E910" s="203"/>
      <c r="F910" s="287"/>
      <c r="G910" s="243"/>
      <c r="H910" s="244"/>
    </row>
    <row r="911" spans="2:8">
      <c r="B911" s="129" t="s">
        <v>1189</v>
      </c>
      <c r="C911" s="198" t="s">
        <v>1173</v>
      </c>
      <c r="D911" s="332" t="s">
        <v>1174</v>
      </c>
      <c r="E911" s="203" t="s">
        <v>55</v>
      </c>
      <c r="F911" s="287">
        <f>7.2*2.7*2</f>
        <v>38.880000000000003</v>
      </c>
      <c r="G911" s="265"/>
      <c r="H911" s="266"/>
    </row>
    <row r="912" spans="2:8">
      <c r="B912" s="129" t="s">
        <v>1190</v>
      </c>
      <c r="C912" s="198" t="s">
        <v>1191</v>
      </c>
      <c r="D912" s="332" t="s">
        <v>1192</v>
      </c>
      <c r="E912" s="203" t="s">
        <v>99</v>
      </c>
      <c r="F912" s="287">
        <v>3</v>
      </c>
      <c r="G912" s="265"/>
      <c r="H912" s="266"/>
    </row>
    <row r="913" spans="2:8" ht="25.5">
      <c r="B913" s="129" t="s">
        <v>1193</v>
      </c>
      <c r="C913" s="198" t="s">
        <v>1194</v>
      </c>
      <c r="D913" s="332" t="s">
        <v>1195</v>
      </c>
      <c r="E913" s="203" t="s">
        <v>309</v>
      </c>
      <c r="F913" s="287">
        <v>1</v>
      </c>
      <c r="G913" s="265"/>
      <c r="H913" s="266"/>
    </row>
    <row r="914" spans="2:8">
      <c r="B914" s="129" t="s">
        <v>1196</v>
      </c>
      <c r="C914" s="198" t="s">
        <v>1197</v>
      </c>
      <c r="D914" s="332" t="s">
        <v>1198</v>
      </c>
      <c r="E914" s="203" t="s">
        <v>209</v>
      </c>
      <c r="F914" s="287">
        <v>91</v>
      </c>
      <c r="G914" s="265"/>
      <c r="H914" s="266"/>
    </row>
    <row r="915" spans="2:8">
      <c r="B915" s="129" t="s">
        <v>1199</v>
      </c>
      <c r="C915" s="198"/>
      <c r="D915" s="345" t="s">
        <v>236</v>
      </c>
      <c r="E915" s="203"/>
      <c r="F915" s="287"/>
      <c r="G915" s="243"/>
      <c r="H915" s="244"/>
    </row>
    <row r="916" spans="2:8">
      <c r="B916" s="129" t="s">
        <v>1200</v>
      </c>
      <c r="C916" s="198" t="s">
        <v>1173</v>
      </c>
      <c r="D916" s="332" t="s">
        <v>1174</v>
      </c>
      <c r="E916" s="203" t="s">
        <v>55</v>
      </c>
      <c r="F916" s="287">
        <f>+(12.76+12.26+8.05+10.26+16.9+16.8)*2.7</f>
        <v>207.98100000000002</v>
      </c>
      <c r="G916" s="265"/>
      <c r="H916" s="266"/>
    </row>
    <row r="917" spans="2:8">
      <c r="B917" s="129" t="s">
        <v>1201</v>
      </c>
      <c r="C917" s="198" t="s">
        <v>1176</v>
      </c>
      <c r="D917" s="332" t="s">
        <v>1177</v>
      </c>
      <c r="E917" s="203" t="s">
        <v>209</v>
      </c>
      <c r="F917" s="287">
        <f>1.7+3.12</f>
        <v>4.82</v>
      </c>
      <c r="G917" s="265"/>
      <c r="H917" s="266"/>
    </row>
    <row r="918" spans="2:8">
      <c r="B918" s="129" t="s">
        <v>1202</v>
      </c>
      <c r="C918" s="198" t="s">
        <v>1176</v>
      </c>
      <c r="D918" s="332" t="s">
        <v>1179</v>
      </c>
      <c r="E918" s="203" t="s">
        <v>209</v>
      </c>
      <c r="F918" s="287">
        <f>+(1.7+0.55)*2+(3.12+0.55)*2+(2.25+0.55)+2.4+0.6+1.1+0.6+1.3+0.6</f>
        <v>21.240000000000006</v>
      </c>
      <c r="G918" s="265"/>
      <c r="H918" s="266"/>
    </row>
    <row r="919" spans="2:8">
      <c r="B919" s="129" t="s">
        <v>1203</v>
      </c>
      <c r="C919" s="198" t="s">
        <v>1176</v>
      </c>
      <c r="D919" s="332" t="s">
        <v>1181</v>
      </c>
      <c r="E919" s="203" t="s">
        <v>209</v>
      </c>
      <c r="F919" s="287">
        <f>+(1.7+0.55)*2+(3.12+0.55)*2+(2.25+0.55)+2.4+0.6+1.1+0.6+1.3+0.6</f>
        <v>21.240000000000006</v>
      </c>
      <c r="G919" s="265"/>
      <c r="H919" s="266"/>
    </row>
    <row r="920" spans="2:8" ht="25.5">
      <c r="B920" s="129" t="s">
        <v>1204</v>
      </c>
      <c r="C920" s="198" t="s">
        <v>1176</v>
      </c>
      <c r="D920" s="332" t="s">
        <v>1205</v>
      </c>
      <c r="E920" s="203" t="s">
        <v>55</v>
      </c>
      <c r="F920" s="287">
        <f>1.7*0.55*2+3.2*0.55*2+2.4*0.6+2.25*0.55+1.1*0.6+1.3*0.6</f>
        <v>9.5075000000000003</v>
      </c>
      <c r="G920" s="265"/>
      <c r="H920" s="266"/>
    </row>
    <row r="921" spans="2:8">
      <c r="B921" s="129" t="s">
        <v>1206</v>
      </c>
      <c r="C921" s="198" t="s">
        <v>1176</v>
      </c>
      <c r="D921" s="332" t="s">
        <v>1207</v>
      </c>
      <c r="E921" s="203" t="s">
        <v>99</v>
      </c>
      <c r="F921" s="287">
        <v>3</v>
      </c>
      <c r="G921" s="265"/>
      <c r="H921" s="266"/>
    </row>
    <row r="922" spans="2:8" ht="25.5">
      <c r="B922" s="129" t="s">
        <v>1208</v>
      </c>
      <c r="C922" s="198" t="s">
        <v>1194</v>
      </c>
      <c r="D922" s="332" t="s">
        <v>1209</v>
      </c>
      <c r="E922" s="203" t="s">
        <v>309</v>
      </c>
      <c r="F922" s="287">
        <v>1</v>
      </c>
      <c r="G922" s="265"/>
      <c r="H922" s="266"/>
    </row>
    <row r="923" spans="2:8">
      <c r="B923" s="129" t="s">
        <v>1210</v>
      </c>
      <c r="C923" s="198" t="s">
        <v>1197</v>
      </c>
      <c r="D923" s="345" t="s">
        <v>1198</v>
      </c>
      <c r="E923" s="203" t="s">
        <v>209</v>
      </c>
      <c r="F923" s="287">
        <v>41</v>
      </c>
      <c r="G923" s="265"/>
      <c r="H923" s="266"/>
    </row>
    <row r="924" spans="2:8">
      <c r="B924" s="129" t="s">
        <v>1211</v>
      </c>
      <c r="C924" s="198" t="s">
        <v>1191</v>
      </c>
      <c r="D924" s="332" t="s">
        <v>1192</v>
      </c>
      <c r="E924" s="203" t="s">
        <v>99</v>
      </c>
      <c r="F924" s="287">
        <v>1</v>
      </c>
      <c r="G924" s="265"/>
      <c r="H924" s="266"/>
    </row>
    <row r="925" spans="2:8">
      <c r="B925" s="129" t="s">
        <v>1212</v>
      </c>
      <c r="C925" s="198"/>
      <c r="D925" s="345" t="s">
        <v>243</v>
      </c>
      <c r="E925" s="203"/>
      <c r="F925" s="287"/>
      <c r="G925" s="243"/>
      <c r="H925" s="244"/>
    </row>
    <row r="926" spans="2:8">
      <c r="B926" s="129" t="s">
        <v>1213</v>
      </c>
      <c r="C926" s="198" t="s">
        <v>1173</v>
      </c>
      <c r="D926" s="332" t="s">
        <v>1174</v>
      </c>
      <c r="E926" s="203" t="s">
        <v>55</v>
      </c>
      <c r="F926" s="287">
        <f>7.2*2.7*2</f>
        <v>38.880000000000003</v>
      </c>
      <c r="G926" s="265"/>
      <c r="H926" s="266"/>
    </row>
    <row r="927" spans="2:8" ht="25.5">
      <c r="B927" s="129" t="s">
        <v>1214</v>
      </c>
      <c r="C927" s="198" t="s">
        <v>1197</v>
      </c>
      <c r="D927" s="332" t="s">
        <v>1215</v>
      </c>
      <c r="E927" s="203" t="s">
        <v>55</v>
      </c>
      <c r="F927" s="287">
        <v>16</v>
      </c>
      <c r="G927" s="265"/>
      <c r="H927" s="266"/>
    </row>
    <row r="928" spans="2:8" ht="15">
      <c r="B928" s="186" t="s">
        <v>1216</v>
      </c>
      <c r="C928" s="312"/>
      <c r="D928" s="313" t="s">
        <v>224</v>
      </c>
      <c r="E928" s="357"/>
      <c r="F928" s="297"/>
      <c r="G928" s="233"/>
      <c r="H928" s="234"/>
    </row>
    <row r="929" spans="2:8">
      <c r="B929" s="129" t="s">
        <v>1217</v>
      </c>
      <c r="C929" s="198"/>
      <c r="D929" s="345" t="s">
        <v>679</v>
      </c>
      <c r="E929" s="203"/>
      <c r="F929" s="287"/>
      <c r="G929" s="267"/>
      <c r="H929" s="268"/>
    </row>
    <row r="930" spans="2:8" ht="25.5">
      <c r="B930" s="129" t="s">
        <v>1218</v>
      </c>
      <c r="C930" s="198" t="s">
        <v>1194</v>
      </c>
      <c r="D930" s="332" t="s">
        <v>1195</v>
      </c>
      <c r="E930" s="203" t="s">
        <v>309</v>
      </c>
      <c r="F930" s="287">
        <v>1</v>
      </c>
      <c r="G930" s="265"/>
      <c r="H930" s="266"/>
    </row>
    <row r="931" spans="2:8">
      <c r="B931" s="129" t="s">
        <v>1219</v>
      </c>
      <c r="C931" s="198" t="s">
        <v>1197</v>
      </c>
      <c r="D931" s="332" t="s">
        <v>1220</v>
      </c>
      <c r="E931" s="203" t="s">
        <v>209</v>
      </c>
      <c r="F931" s="287">
        <v>92</v>
      </c>
      <c r="G931" s="265"/>
      <c r="H931" s="266"/>
    </row>
    <row r="932" spans="2:8">
      <c r="B932" s="129" t="s">
        <v>1221</v>
      </c>
      <c r="C932" s="198" t="s">
        <v>1191</v>
      </c>
      <c r="D932" s="332" t="s">
        <v>1192</v>
      </c>
      <c r="E932" s="203" t="s">
        <v>99</v>
      </c>
      <c r="F932" s="287">
        <v>2</v>
      </c>
      <c r="G932" s="265"/>
      <c r="H932" s="266"/>
    </row>
    <row r="933" spans="2:8">
      <c r="B933" s="129" t="s">
        <v>1222</v>
      </c>
      <c r="C933" s="358"/>
      <c r="D933" s="345" t="s">
        <v>264</v>
      </c>
      <c r="E933" s="203"/>
      <c r="F933" s="287"/>
      <c r="G933" s="267"/>
      <c r="H933" s="268"/>
    </row>
    <row r="934" spans="2:8">
      <c r="B934" s="129" t="s">
        <v>1223</v>
      </c>
      <c r="C934" s="198" t="s">
        <v>1197</v>
      </c>
      <c r="D934" s="332" t="s">
        <v>1220</v>
      </c>
      <c r="E934" s="203" t="s">
        <v>209</v>
      </c>
      <c r="F934" s="287">
        <v>92</v>
      </c>
      <c r="G934" s="265"/>
      <c r="H934" s="266"/>
    </row>
    <row r="935" spans="2:8">
      <c r="B935" s="129" t="s">
        <v>1224</v>
      </c>
      <c r="C935" s="198" t="s">
        <v>1191</v>
      </c>
      <c r="D935" s="332" t="s">
        <v>1192</v>
      </c>
      <c r="E935" s="203" t="s">
        <v>99</v>
      </c>
      <c r="F935" s="287">
        <v>2</v>
      </c>
      <c r="G935" s="265"/>
      <c r="H935" s="266"/>
    </row>
    <row r="936" spans="2:8">
      <c r="B936" s="129" t="s">
        <v>1225</v>
      </c>
      <c r="C936" s="198"/>
      <c r="D936" s="345" t="s">
        <v>272</v>
      </c>
      <c r="E936" s="203"/>
      <c r="F936" s="287"/>
      <c r="G936" s="267"/>
      <c r="H936" s="268"/>
    </row>
    <row r="937" spans="2:8" ht="25.5">
      <c r="B937" s="129" t="s">
        <v>1226</v>
      </c>
      <c r="C937" s="198" t="s">
        <v>1194</v>
      </c>
      <c r="D937" s="332" t="s">
        <v>1195</v>
      </c>
      <c r="E937" s="203" t="s">
        <v>309</v>
      </c>
      <c r="F937" s="287">
        <v>1</v>
      </c>
      <c r="G937" s="265"/>
      <c r="H937" s="266"/>
    </row>
    <row r="938" spans="2:8">
      <c r="B938" s="129" t="s">
        <v>1227</v>
      </c>
      <c r="C938" s="198" t="s">
        <v>1197</v>
      </c>
      <c r="D938" s="332" t="s">
        <v>1220</v>
      </c>
      <c r="E938" s="203" t="s">
        <v>209</v>
      </c>
      <c r="F938" s="287">
        <v>101</v>
      </c>
      <c r="G938" s="265"/>
      <c r="H938" s="266"/>
    </row>
    <row r="939" spans="2:8">
      <c r="B939" s="129" t="s">
        <v>1228</v>
      </c>
      <c r="C939" s="198"/>
      <c r="D939" s="345" t="s">
        <v>1229</v>
      </c>
      <c r="E939" s="203"/>
      <c r="F939" s="287"/>
      <c r="G939" s="267"/>
      <c r="H939" s="268"/>
    </row>
    <row r="940" spans="2:8" ht="25.5">
      <c r="B940" s="129" t="s">
        <v>1230</v>
      </c>
      <c r="C940" s="198" t="s">
        <v>1194</v>
      </c>
      <c r="D940" s="332" t="s">
        <v>1195</v>
      </c>
      <c r="E940" s="203" t="s">
        <v>309</v>
      </c>
      <c r="F940" s="287">
        <v>1</v>
      </c>
      <c r="G940" s="265"/>
      <c r="H940" s="266"/>
    </row>
    <row r="941" spans="2:8">
      <c r="B941" s="129" t="s">
        <v>1231</v>
      </c>
      <c r="C941" s="198" t="s">
        <v>1197</v>
      </c>
      <c r="D941" s="332" t="s">
        <v>1220</v>
      </c>
      <c r="E941" s="203" t="s">
        <v>209</v>
      </c>
      <c r="F941" s="287">
        <v>101</v>
      </c>
      <c r="G941" s="265"/>
      <c r="H941" s="266"/>
    </row>
    <row r="942" spans="2:8">
      <c r="B942" s="129" t="s">
        <v>1232</v>
      </c>
      <c r="C942" s="198"/>
      <c r="D942" s="345" t="s">
        <v>286</v>
      </c>
      <c r="E942" s="203"/>
      <c r="F942" s="287"/>
      <c r="G942" s="267"/>
      <c r="H942" s="268"/>
    </row>
    <row r="943" spans="2:8" ht="25.5">
      <c r="B943" s="129" t="s">
        <v>1233</v>
      </c>
      <c r="C943" s="198" t="s">
        <v>1194</v>
      </c>
      <c r="D943" s="332" t="s">
        <v>1195</v>
      </c>
      <c r="E943" s="203" t="s">
        <v>309</v>
      </c>
      <c r="F943" s="287">
        <v>1</v>
      </c>
      <c r="G943" s="265"/>
      <c r="H943" s="266"/>
    </row>
    <row r="944" spans="2:8">
      <c r="B944" s="129" t="s">
        <v>1234</v>
      </c>
      <c r="C944" s="198" t="s">
        <v>1197</v>
      </c>
      <c r="D944" s="332" t="s">
        <v>1220</v>
      </c>
      <c r="E944" s="203" t="s">
        <v>209</v>
      </c>
      <c r="F944" s="287">
        <v>101</v>
      </c>
      <c r="G944" s="265"/>
      <c r="H944" s="266"/>
    </row>
    <row r="945" spans="2:8">
      <c r="B945" s="129" t="s">
        <v>1235</v>
      </c>
      <c r="C945" s="198"/>
      <c r="D945" s="345" t="s">
        <v>293</v>
      </c>
      <c r="E945" s="203"/>
      <c r="F945" s="287"/>
      <c r="G945" s="267"/>
      <c r="H945" s="268"/>
    </row>
    <row r="946" spans="2:8">
      <c r="B946" s="129" t="s">
        <v>1236</v>
      </c>
      <c r="C946" s="198" t="s">
        <v>1173</v>
      </c>
      <c r="D946" s="332" t="s">
        <v>1174</v>
      </c>
      <c r="E946" s="203" t="s">
        <v>55</v>
      </c>
      <c r="F946" s="287">
        <f>7*2.7</f>
        <v>18.900000000000002</v>
      </c>
      <c r="G946" s="265"/>
      <c r="H946" s="266"/>
    </row>
    <row r="947" spans="2:8">
      <c r="B947" s="129" t="s">
        <v>1237</v>
      </c>
      <c r="C947" s="198" t="s">
        <v>1176</v>
      </c>
      <c r="D947" s="332" t="s">
        <v>1177</v>
      </c>
      <c r="E947" s="203" t="s">
        <v>209</v>
      </c>
      <c r="F947" s="287">
        <v>1</v>
      </c>
      <c r="G947" s="265"/>
      <c r="H947" s="266"/>
    </row>
    <row r="948" spans="2:8">
      <c r="B948" s="129" t="s">
        <v>1238</v>
      </c>
      <c r="C948" s="198" t="s">
        <v>1176</v>
      </c>
      <c r="D948" s="332" t="s">
        <v>1179</v>
      </c>
      <c r="E948" s="203" t="s">
        <v>209</v>
      </c>
      <c r="F948" s="287">
        <v>1.55</v>
      </c>
      <c r="G948" s="265"/>
      <c r="H948" s="266"/>
    </row>
    <row r="949" spans="2:8">
      <c r="B949" s="129" t="s">
        <v>1239</v>
      </c>
      <c r="C949" s="198" t="s">
        <v>1176</v>
      </c>
      <c r="D949" s="332" t="s">
        <v>1181</v>
      </c>
      <c r="E949" s="203" t="s">
        <v>209</v>
      </c>
      <c r="F949" s="287">
        <v>1.55</v>
      </c>
      <c r="G949" s="265"/>
      <c r="H949" s="266"/>
    </row>
    <row r="950" spans="2:8">
      <c r="B950" s="129" t="s">
        <v>1240</v>
      </c>
      <c r="C950" s="198" t="s">
        <v>1176</v>
      </c>
      <c r="D950" s="332" t="s">
        <v>1241</v>
      </c>
      <c r="E950" s="203" t="s">
        <v>55</v>
      </c>
      <c r="F950" s="287">
        <v>0.55000000000000004</v>
      </c>
      <c r="G950" s="265"/>
      <c r="H950" s="266"/>
    </row>
    <row r="951" spans="2:8">
      <c r="B951" s="129" t="s">
        <v>1242</v>
      </c>
      <c r="C951" s="198" t="s">
        <v>1197</v>
      </c>
      <c r="D951" s="332" t="s">
        <v>1220</v>
      </c>
      <c r="E951" s="203" t="s">
        <v>209</v>
      </c>
      <c r="F951" s="287">
        <v>101</v>
      </c>
      <c r="G951" s="265"/>
      <c r="H951" s="266"/>
    </row>
    <row r="952" spans="2:8" ht="15">
      <c r="B952" s="186" t="s">
        <v>1243</v>
      </c>
      <c r="C952" s="312"/>
      <c r="D952" s="313" t="s">
        <v>236</v>
      </c>
      <c r="E952" s="357"/>
      <c r="F952" s="297"/>
      <c r="G952" s="233"/>
      <c r="H952" s="234"/>
    </row>
    <row r="953" spans="2:8">
      <c r="B953" s="129" t="s">
        <v>1244</v>
      </c>
      <c r="C953" s="198"/>
      <c r="D953" s="345" t="s">
        <v>679</v>
      </c>
      <c r="E953" s="203"/>
      <c r="F953" s="287"/>
      <c r="G953" s="267"/>
      <c r="H953" s="268"/>
    </row>
    <row r="954" spans="2:8">
      <c r="B954" s="129" t="s">
        <v>1245</v>
      </c>
      <c r="C954" s="198" t="s">
        <v>1173</v>
      </c>
      <c r="D954" s="332" t="s">
        <v>1174</v>
      </c>
      <c r="E954" s="203" t="s">
        <v>55</v>
      </c>
      <c r="F954" s="287">
        <f>+(12.8+12.3+7.8+12.5+12.5+10.8+17*2)*2.7</f>
        <v>277.29000000000002</v>
      </c>
      <c r="G954" s="265"/>
      <c r="H954" s="266"/>
    </row>
    <row r="955" spans="2:8">
      <c r="B955" s="129" t="s">
        <v>1246</v>
      </c>
      <c r="C955" s="198" t="s">
        <v>1176</v>
      </c>
      <c r="D955" s="332" t="s">
        <v>1177</v>
      </c>
      <c r="E955" s="203" t="s">
        <v>209</v>
      </c>
      <c r="F955" s="287">
        <f>1.7+3.12</f>
        <v>4.82</v>
      </c>
      <c r="G955" s="265"/>
      <c r="H955" s="266"/>
    </row>
    <row r="956" spans="2:8">
      <c r="B956" s="129" t="s">
        <v>1247</v>
      </c>
      <c r="C956" s="198" t="s">
        <v>1176</v>
      </c>
      <c r="D956" s="332" t="s">
        <v>1179</v>
      </c>
      <c r="E956" s="203" t="s">
        <v>209</v>
      </c>
      <c r="F956" s="287">
        <f>+(1.7+0.55)*4+(3.12+0.55)*2+1.45+0.6</f>
        <v>18.39</v>
      </c>
      <c r="G956" s="265"/>
      <c r="H956" s="266"/>
    </row>
    <row r="957" spans="2:8">
      <c r="B957" s="129" t="s">
        <v>1248</v>
      </c>
      <c r="C957" s="198" t="s">
        <v>1176</v>
      </c>
      <c r="D957" s="332" t="s">
        <v>1181</v>
      </c>
      <c r="E957" s="203" t="s">
        <v>209</v>
      </c>
      <c r="F957" s="287">
        <f>+(1.7+0.55)*4+(3.12+0.55)*2+1.45+0.6</f>
        <v>18.39</v>
      </c>
      <c r="G957" s="265"/>
      <c r="H957" s="266"/>
    </row>
    <row r="958" spans="2:8">
      <c r="B958" s="129" t="s">
        <v>1249</v>
      </c>
      <c r="C958" s="198" t="s">
        <v>1176</v>
      </c>
      <c r="D958" s="332" t="s">
        <v>1183</v>
      </c>
      <c r="E958" s="203" t="s">
        <v>55</v>
      </c>
      <c r="F958" s="287">
        <f>1.7*0.55*4+3.12*0.55*2+2.4*0.6</f>
        <v>8.6120000000000001</v>
      </c>
      <c r="G958" s="265"/>
      <c r="H958" s="266"/>
    </row>
    <row r="959" spans="2:8">
      <c r="B959" s="129" t="s">
        <v>1250</v>
      </c>
      <c r="C959" s="198" t="s">
        <v>1176</v>
      </c>
      <c r="D959" s="332" t="s">
        <v>1207</v>
      </c>
      <c r="E959" s="203" t="s">
        <v>99</v>
      </c>
      <c r="F959" s="287">
        <v>3</v>
      </c>
      <c r="G959" s="265"/>
      <c r="H959" s="266"/>
    </row>
    <row r="960" spans="2:8" ht="25.5">
      <c r="B960" s="129" t="s">
        <v>1251</v>
      </c>
      <c r="C960" s="198" t="s">
        <v>1194</v>
      </c>
      <c r="D960" s="332" t="s">
        <v>1209</v>
      </c>
      <c r="E960" s="203" t="s">
        <v>309</v>
      </c>
      <c r="F960" s="287">
        <v>1</v>
      </c>
      <c r="G960" s="265"/>
      <c r="H960" s="266"/>
    </row>
    <row r="961" spans="2:8">
      <c r="B961" s="129" t="s">
        <v>1252</v>
      </c>
      <c r="C961" s="198" t="s">
        <v>1197</v>
      </c>
      <c r="D961" s="332" t="s">
        <v>1220</v>
      </c>
      <c r="E961" s="203" t="s">
        <v>209</v>
      </c>
      <c r="F961" s="287">
        <v>41</v>
      </c>
      <c r="G961" s="265"/>
      <c r="H961" s="266"/>
    </row>
    <row r="962" spans="2:8">
      <c r="B962" s="129" t="s">
        <v>1253</v>
      </c>
      <c r="C962" s="359"/>
      <c r="D962" s="340" t="s">
        <v>264</v>
      </c>
      <c r="E962" s="203"/>
      <c r="F962" s="287"/>
      <c r="G962" s="267"/>
      <c r="H962" s="268"/>
    </row>
    <row r="963" spans="2:8">
      <c r="B963" s="129" t="s">
        <v>1254</v>
      </c>
      <c r="C963" s="198" t="s">
        <v>1173</v>
      </c>
      <c r="D963" s="332" t="s">
        <v>1174</v>
      </c>
      <c r="E963" s="203" t="s">
        <v>55</v>
      </c>
      <c r="F963" s="287">
        <f>+(12.8+12.3+7.8+12.5+12.5+10.8+17*2)*2.7</f>
        <v>277.29000000000002</v>
      </c>
      <c r="G963" s="265"/>
      <c r="H963" s="266"/>
    </row>
    <row r="964" spans="2:8">
      <c r="B964" s="129" t="s">
        <v>1255</v>
      </c>
      <c r="C964" s="198" t="s">
        <v>1176</v>
      </c>
      <c r="D964" s="332" t="s">
        <v>1177</v>
      </c>
      <c r="E964" s="203" t="s">
        <v>209</v>
      </c>
      <c r="F964" s="287">
        <f>1.7+3.12</f>
        <v>4.82</v>
      </c>
      <c r="G964" s="265"/>
      <c r="H964" s="266"/>
    </row>
    <row r="965" spans="2:8">
      <c r="B965" s="129" t="s">
        <v>1256</v>
      </c>
      <c r="C965" s="198" t="s">
        <v>1176</v>
      </c>
      <c r="D965" s="332" t="s">
        <v>1179</v>
      </c>
      <c r="E965" s="203" t="s">
        <v>209</v>
      </c>
      <c r="F965" s="287">
        <f>+(1.7+0.55)*4+(3.12+0.55)*2+1.45+0.6+2.25+0.6</f>
        <v>21.240000000000002</v>
      </c>
      <c r="G965" s="265"/>
      <c r="H965" s="266"/>
    </row>
    <row r="966" spans="2:8">
      <c r="B966" s="129" t="s">
        <v>1257</v>
      </c>
      <c r="C966" s="198" t="s">
        <v>1176</v>
      </c>
      <c r="D966" s="332" t="s">
        <v>1181</v>
      </c>
      <c r="E966" s="203" t="s">
        <v>209</v>
      </c>
      <c r="F966" s="287">
        <f>+(1.7+0.55)*4+(3.12+0.55)*2+1.45+0.6+2.25+0.6</f>
        <v>21.240000000000002</v>
      </c>
      <c r="G966" s="265"/>
      <c r="H966" s="266"/>
    </row>
    <row r="967" spans="2:8">
      <c r="B967" s="129" t="s">
        <v>1258</v>
      </c>
      <c r="C967" s="198" t="s">
        <v>1176</v>
      </c>
      <c r="D967" s="332" t="s">
        <v>1259</v>
      </c>
      <c r="E967" s="203" t="s">
        <v>55</v>
      </c>
      <c r="F967" s="287">
        <f>1.7*0.55*4+3.12*0.55*2+2.4*0.6+2.25*0.55</f>
        <v>9.8495000000000008</v>
      </c>
      <c r="G967" s="265"/>
      <c r="H967" s="266"/>
    </row>
    <row r="968" spans="2:8">
      <c r="B968" s="129" t="s">
        <v>1260</v>
      </c>
      <c r="C968" s="198" t="s">
        <v>1176</v>
      </c>
      <c r="D968" s="332" t="s">
        <v>1207</v>
      </c>
      <c r="E968" s="203" t="s">
        <v>99</v>
      </c>
      <c r="F968" s="287">
        <v>3</v>
      </c>
      <c r="G968" s="265"/>
      <c r="H968" s="266"/>
    </row>
    <row r="969" spans="2:8" ht="25.5">
      <c r="B969" s="129" t="s">
        <v>1261</v>
      </c>
      <c r="C969" s="198" t="s">
        <v>1194</v>
      </c>
      <c r="D969" s="332" t="s">
        <v>1209</v>
      </c>
      <c r="E969" s="203" t="s">
        <v>309</v>
      </c>
      <c r="F969" s="287">
        <v>1</v>
      </c>
      <c r="G969" s="265"/>
      <c r="H969" s="266"/>
    </row>
    <row r="970" spans="2:8">
      <c r="B970" s="129" t="s">
        <v>1262</v>
      </c>
      <c r="C970" s="198" t="s">
        <v>1197</v>
      </c>
      <c r="D970" s="332" t="s">
        <v>1220</v>
      </c>
      <c r="E970" s="203" t="s">
        <v>209</v>
      </c>
      <c r="F970" s="287">
        <v>41</v>
      </c>
      <c r="G970" s="265"/>
      <c r="H970" s="266"/>
    </row>
    <row r="971" spans="2:8">
      <c r="B971" s="129" t="s">
        <v>1263</v>
      </c>
      <c r="C971" s="198"/>
      <c r="D971" s="332" t="s">
        <v>272</v>
      </c>
      <c r="E971" s="203"/>
      <c r="F971" s="287"/>
      <c r="G971" s="265"/>
      <c r="H971" s="266"/>
    </row>
    <row r="972" spans="2:8">
      <c r="B972" s="129" t="s">
        <v>1264</v>
      </c>
      <c r="C972" s="198" t="s">
        <v>1173</v>
      </c>
      <c r="D972" s="332" t="s">
        <v>1174</v>
      </c>
      <c r="E972" s="203" t="s">
        <v>55</v>
      </c>
      <c r="F972" s="287">
        <f>+(12.8+12.3+7.8+12.5+12.5+10.8+17*2)*2.7</f>
        <v>277.29000000000002</v>
      </c>
      <c r="G972" s="265"/>
      <c r="H972" s="266"/>
    </row>
    <row r="973" spans="2:8">
      <c r="B973" s="129" t="s">
        <v>1265</v>
      </c>
      <c r="C973" s="198" t="s">
        <v>1176</v>
      </c>
      <c r="D973" s="332" t="s">
        <v>1177</v>
      </c>
      <c r="E973" s="203" t="s">
        <v>209</v>
      </c>
      <c r="F973" s="287">
        <f>1.7+3.12</f>
        <v>4.82</v>
      </c>
      <c r="G973" s="265"/>
      <c r="H973" s="266"/>
    </row>
    <row r="974" spans="2:8">
      <c r="B974" s="129" t="s">
        <v>1266</v>
      </c>
      <c r="C974" s="198" t="s">
        <v>1176</v>
      </c>
      <c r="D974" s="332" t="s">
        <v>1179</v>
      </c>
      <c r="E974" s="203" t="s">
        <v>209</v>
      </c>
      <c r="F974" s="287">
        <f>+(1.7+0.55)*4+(3.12+0.55)*2+1.45+0.6</f>
        <v>18.39</v>
      </c>
      <c r="G974" s="265"/>
      <c r="H974" s="266"/>
    </row>
    <row r="975" spans="2:8">
      <c r="B975" s="129" t="s">
        <v>1267</v>
      </c>
      <c r="C975" s="198" t="s">
        <v>1176</v>
      </c>
      <c r="D975" s="332" t="s">
        <v>1181</v>
      </c>
      <c r="E975" s="203" t="s">
        <v>209</v>
      </c>
      <c r="F975" s="287">
        <f>+(1.7+0.55)*4+(3.12+0.55)*2+1.45+0.6</f>
        <v>18.39</v>
      </c>
      <c r="G975" s="265"/>
      <c r="H975" s="266"/>
    </row>
    <row r="976" spans="2:8">
      <c r="B976" s="129" t="s">
        <v>1268</v>
      </c>
      <c r="C976" s="198" t="s">
        <v>1176</v>
      </c>
      <c r="D976" s="332" t="s">
        <v>1183</v>
      </c>
      <c r="E976" s="203" t="s">
        <v>55</v>
      </c>
      <c r="F976" s="287">
        <f>1.7*0.55*4+3.12*0.55*2+2.4*0.6</f>
        <v>8.6120000000000001</v>
      </c>
      <c r="G976" s="265"/>
      <c r="H976" s="266"/>
    </row>
    <row r="977" spans="2:8">
      <c r="B977" s="129" t="s">
        <v>1269</v>
      </c>
      <c r="C977" s="198" t="s">
        <v>1176</v>
      </c>
      <c r="D977" s="332" t="s">
        <v>1207</v>
      </c>
      <c r="E977" s="203" t="s">
        <v>99</v>
      </c>
      <c r="F977" s="287">
        <v>3</v>
      </c>
      <c r="G977" s="265"/>
      <c r="H977" s="266"/>
    </row>
    <row r="978" spans="2:8" ht="25.5">
      <c r="B978" s="129" t="s">
        <v>1270</v>
      </c>
      <c r="C978" s="198" t="s">
        <v>1194</v>
      </c>
      <c r="D978" s="332" t="s">
        <v>1209</v>
      </c>
      <c r="E978" s="203" t="s">
        <v>309</v>
      </c>
      <c r="F978" s="287">
        <v>1</v>
      </c>
      <c r="G978" s="265"/>
      <c r="H978" s="266"/>
    </row>
    <row r="979" spans="2:8">
      <c r="B979" s="129" t="s">
        <v>1271</v>
      </c>
      <c r="C979" s="198" t="s">
        <v>1197</v>
      </c>
      <c r="D979" s="332" t="s">
        <v>1220</v>
      </c>
      <c r="E979" s="203" t="s">
        <v>209</v>
      </c>
      <c r="F979" s="287">
        <v>41</v>
      </c>
      <c r="G979" s="265"/>
      <c r="H979" s="266"/>
    </row>
    <row r="980" spans="2:8">
      <c r="B980" s="129" t="s">
        <v>1272</v>
      </c>
      <c r="C980" s="358"/>
      <c r="D980" s="340" t="s">
        <v>279</v>
      </c>
      <c r="E980" s="203"/>
      <c r="F980" s="287"/>
      <c r="G980" s="267"/>
      <c r="H980" s="268"/>
    </row>
    <row r="981" spans="2:8">
      <c r="B981" s="129" t="s">
        <v>1273</v>
      </c>
      <c r="C981" s="198" t="s">
        <v>1173</v>
      </c>
      <c r="D981" s="332" t="s">
        <v>1174</v>
      </c>
      <c r="E981" s="203" t="s">
        <v>55</v>
      </c>
      <c r="F981" s="287">
        <f>+(12.8+12.3+7.8+12.5+12.5+10.8+17*2)*2.7</f>
        <v>277.29000000000002</v>
      </c>
      <c r="G981" s="265"/>
      <c r="H981" s="266"/>
    </row>
    <row r="982" spans="2:8">
      <c r="B982" s="129" t="s">
        <v>1274</v>
      </c>
      <c r="C982" s="198" t="s">
        <v>1176</v>
      </c>
      <c r="D982" s="332" t="s">
        <v>1177</v>
      </c>
      <c r="E982" s="203" t="s">
        <v>209</v>
      </c>
      <c r="F982" s="287">
        <f>1.7+3.12</f>
        <v>4.82</v>
      </c>
      <c r="G982" s="265"/>
      <c r="H982" s="266"/>
    </row>
    <row r="983" spans="2:8">
      <c r="B983" s="129" t="s">
        <v>1275</v>
      </c>
      <c r="C983" s="198" t="s">
        <v>1176</v>
      </c>
      <c r="D983" s="332" t="s">
        <v>1179</v>
      </c>
      <c r="E983" s="203" t="s">
        <v>209</v>
      </c>
      <c r="F983" s="287">
        <f>+(1.7+0.55)*4+(3.12+0.55)*2+1.45+0.6+2.25+0.6</f>
        <v>21.240000000000002</v>
      </c>
      <c r="G983" s="265"/>
      <c r="H983" s="266"/>
    </row>
    <row r="984" spans="2:8">
      <c r="B984" s="129" t="s">
        <v>1276</v>
      </c>
      <c r="C984" s="198" t="s">
        <v>1176</v>
      </c>
      <c r="D984" s="332" t="s">
        <v>1181</v>
      </c>
      <c r="E984" s="203" t="s">
        <v>209</v>
      </c>
      <c r="F984" s="287">
        <f>+(1.7+0.55)*4+(3.12+0.55)*2+1.45+0.6+2.25+0.6</f>
        <v>21.240000000000002</v>
      </c>
      <c r="G984" s="265"/>
      <c r="H984" s="266"/>
    </row>
    <row r="985" spans="2:8">
      <c r="B985" s="129" t="s">
        <v>1277</v>
      </c>
      <c r="C985" s="198" t="s">
        <v>1176</v>
      </c>
      <c r="D985" s="332" t="s">
        <v>1259</v>
      </c>
      <c r="E985" s="203" t="s">
        <v>55</v>
      </c>
      <c r="F985" s="287">
        <f>1.7*0.55*4+3.12*0.55*2+2.4*0.6+2.25*0.55</f>
        <v>9.8495000000000008</v>
      </c>
      <c r="G985" s="265"/>
      <c r="H985" s="266"/>
    </row>
    <row r="986" spans="2:8">
      <c r="B986" s="129" t="s">
        <v>1278</v>
      </c>
      <c r="C986" s="198" t="s">
        <v>1176</v>
      </c>
      <c r="D986" s="332" t="s">
        <v>1207</v>
      </c>
      <c r="E986" s="203" t="s">
        <v>99</v>
      </c>
      <c r="F986" s="287">
        <v>3</v>
      </c>
      <c r="G986" s="265"/>
      <c r="H986" s="266"/>
    </row>
    <row r="987" spans="2:8" ht="25.5">
      <c r="B987" s="129" t="s">
        <v>1279</v>
      </c>
      <c r="C987" s="198" t="s">
        <v>1194</v>
      </c>
      <c r="D987" s="332" t="s">
        <v>1209</v>
      </c>
      <c r="E987" s="203" t="s">
        <v>309</v>
      </c>
      <c r="F987" s="287">
        <v>1</v>
      </c>
      <c r="G987" s="265"/>
      <c r="H987" s="266"/>
    </row>
    <row r="988" spans="2:8">
      <c r="B988" s="129" t="s">
        <v>1280</v>
      </c>
      <c r="C988" s="198" t="s">
        <v>1197</v>
      </c>
      <c r="D988" s="332" t="s">
        <v>1220</v>
      </c>
      <c r="E988" s="203" t="s">
        <v>209</v>
      </c>
      <c r="F988" s="287">
        <v>41</v>
      </c>
      <c r="G988" s="265"/>
      <c r="H988" s="266"/>
    </row>
    <row r="989" spans="2:8">
      <c r="B989" s="129" t="s">
        <v>1281</v>
      </c>
      <c r="C989" s="358"/>
      <c r="D989" s="340" t="s">
        <v>286</v>
      </c>
      <c r="E989" s="203"/>
      <c r="F989" s="287"/>
      <c r="G989" s="267"/>
      <c r="H989" s="268"/>
    </row>
    <row r="990" spans="2:8">
      <c r="B990" s="129" t="s">
        <v>1282</v>
      </c>
      <c r="C990" s="198" t="s">
        <v>1173</v>
      </c>
      <c r="D990" s="332" t="s">
        <v>1174</v>
      </c>
      <c r="E990" s="203" t="s">
        <v>55</v>
      </c>
      <c r="F990" s="287">
        <f>+(12.8+12.3+7.8+12.5+12.5+10.8+17*2)*2.7</f>
        <v>277.29000000000002</v>
      </c>
      <c r="G990" s="265"/>
      <c r="H990" s="266"/>
    </row>
    <row r="991" spans="2:8">
      <c r="B991" s="129" t="s">
        <v>1283</v>
      </c>
      <c r="C991" s="198" t="s">
        <v>1176</v>
      </c>
      <c r="D991" s="332" t="s">
        <v>1177</v>
      </c>
      <c r="E991" s="203" t="s">
        <v>209</v>
      </c>
      <c r="F991" s="287">
        <f>1.7+3.12</f>
        <v>4.82</v>
      </c>
      <c r="G991" s="265"/>
      <c r="H991" s="266"/>
    </row>
    <row r="992" spans="2:8">
      <c r="B992" s="129" t="s">
        <v>1284</v>
      </c>
      <c r="C992" s="198" t="s">
        <v>1176</v>
      </c>
      <c r="D992" s="332" t="s">
        <v>1179</v>
      </c>
      <c r="E992" s="203" t="s">
        <v>209</v>
      </c>
      <c r="F992" s="287">
        <f>+(1.7+0.55)*4+(3.12+0.55)*2+1.45+0.6</f>
        <v>18.39</v>
      </c>
      <c r="G992" s="265"/>
      <c r="H992" s="266"/>
    </row>
    <row r="993" spans="2:8">
      <c r="B993" s="129" t="s">
        <v>1285</v>
      </c>
      <c r="C993" s="198" t="s">
        <v>1176</v>
      </c>
      <c r="D993" s="332" t="s">
        <v>1181</v>
      </c>
      <c r="E993" s="203" t="s">
        <v>209</v>
      </c>
      <c r="F993" s="287">
        <f>+(1.7+0.55)*4+(3.12+0.55)*2+1.45+0.6</f>
        <v>18.39</v>
      </c>
      <c r="G993" s="265"/>
      <c r="H993" s="266"/>
    </row>
    <row r="994" spans="2:8">
      <c r="B994" s="129" t="s">
        <v>1286</v>
      </c>
      <c r="C994" s="198" t="s">
        <v>1176</v>
      </c>
      <c r="D994" s="332" t="s">
        <v>1183</v>
      </c>
      <c r="E994" s="203" t="s">
        <v>55</v>
      </c>
      <c r="F994" s="287">
        <f>1.7*0.55*4+3.12*0.55*2+2.4*0.6</f>
        <v>8.6120000000000001</v>
      </c>
      <c r="G994" s="265"/>
      <c r="H994" s="266"/>
    </row>
    <row r="995" spans="2:8">
      <c r="B995" s="129" t="s">
        <v>1287</v>
      </c>
      <c r="C995" s="198" t="s">
        <v>1176</v>
      </c>
      <c r="D995" s="332" t="s">
        <v>1207</v>
      </c>
      <c r="E995" s="203" t="s">
        <v>99</v>
      </c>
      <c r="F995" s="287">
        <v>3</v>
      </c>
      <c r="G995" s="265"/>
      <c r="H995" s="266"/>
    </row>
    <row r="996" spans="2:8" ht="25.5">
      <c r="B996" s="129" t="s">
        <v>1288</v>
      </c>
      <c r="C996" s="198" t="s">
        <v>1194</v>
      </c>
      <c r="D996" s="332" t="s">
        <v>1209</v>
      </c>
      <c r="E996" s="203" t="s">
        <v>309</v>
      </c>
      <c r="F996" s="287">
        <v>1</v>
      </c>
      <c r="G996" s="265"/>
      <c r="H996" s="266"/>
    </row>
    <row r="997" spans="2:8">
      <c r="B997" s="129" t="s">
        <v>1289</v>
      </c>
      <c r="C997" s="198" t="s">
        <v>1197</v>
      </c>
      <c r="D997" s="332" t="s">
        <v>1220</v>
      </c>
      <c r="E997" s="203" t="s">
        <v>209</v>
      </c>
      <c r="F997" s="287">
        <v>60</v>
      </c>
      <c r="G997" s="265"/>
      <c r="H997" s="266"/>
    </row>
    <row r="998" spans="2:8">
      <c r="B998" s="129" t="s">
        <v>1290</v>
      </c>
      <c r="C998" s="358"/>
      <c r="D998" s="340" t="s">
        <v>293</v>
      </c>
      <c r="E998" s="203"/>
      <c r="F998" s="287"/>
      <c r="G998" s="267"/>
      <c r="H998" s="268"/>
    </row>
    <row r="999" spans="2:8">
      <c r="B999" s="129" t="s">
        <v>1291</v>
      </c>
      <c r="C999" s="198" t="s">
        <v>1173</v>
      </c>
      <c r="D999" s="332" t="s">
        <v>1174</v>
      </c>
      <c r="E999" s="203" t="s">
        <v>55</v>
      </c>
      <c r="F999" s="287">
        <f>+(12.8+12.3+7.8+12.5+12.5+10.8+17*2)*2.7</f>
        <v>277.29000000000002</v>
      </c>
      <c r="G999" s="265"/>
      <c r="H999" s="266"/>
    </row>
    <row r="1000" spans="2:8">
      <c r="B1000" s="129" t="s">
        <v>1292</v>
      </c>
      <c r="C1000" s="198" t="s">
        <v>1176</v>
      </c>
      <c r="D1000" s="332" t="s">
        <v>1177</v>
      </c>
      <c r="E1000" s="203" t="s">
        <v>209</v>
      </c>
      <c r="F1000" s="287">
        <f>1.7+3.12</f>
        <v>4.82</v>
      </c>
      <c r="G1000" s="265"/>
      <c r="H1000" s="266"/>
    </row>
    <row r="1001" spans="2:8">
      <c r="B1001" s="129" t="s">
        <v>1293</v>
      </c>
      <c r="C1001" s="198" t="s">
        <v>1176</v>
      </c>
      <c r="D1001" s="332" t="s">
        <v>1179</v>
      </c>
      <c r="E1001" s="203" t="s">
        <v>209</v>
      </c>
      <c r="F1001" s="287">
        <f>+(1.7+0.55)*4+(3.12+0.55)*2+1.45+0.6+2.25+0.6</f>
        <v>21.240000000000002</v>
      </c>
      <c r="G1001" s="265"/>
      <c r="H1001" s="266"/>
    </row>
    <row r="1002" spans="2:8">
      <c r="B1002" s="129" t="s">
        <v>1294</v>
      </c>
      <c r="C1002" s="198" t="s">
        <v>1176</v>
      </c>
      <c r="D1002" s="332" t="s">
        <v>1181</v>
      </c>
      <c r="E1002" s="203" t="s">
        <v>209</v>
      </c>
      <c r="F1002" s="287">
        <f>+(1.7+0.55)*4+(3.12+0.55)*2+1.45+0.6+2.25+0.6</f>
        <v>21.240000000000002</v>
      </c>
      <c r="G1002" s="265"/>
      <c r="H1002" s="266"/>
    </row>
    <row r="1003" spans="2:8">
      <c r="B1003" s="129" t="s">
        <v>1295</v>
      </c>
      <c r="C1003" s="198" t="s">
        <v>1176</v>
      </c>
      <c r="D1003" s="332" t="s">
        <v>1259</v>
      </c>
      <c r="E1003" s="203" t="s">
        <v>55</v>
      </c>
      <c r="F1003" s="287">
        <f>1.7*0.55*4+3.12*0.55*2+2.4*0.6+2.25*0.55</f>
        <v>9.8495000000000008</v>
      </c>
      <c r="G1003" s="265"/>
      <c r="H1003" s="266"/>
    </row>
    <row r="1004" spans="2:8">
      <c r="B1004" s="129" t="s">
        <v>1296</v>
      </c>
      <c r="C1004" s="198" t="s">
        <v>1176</v>
      </c>
      <c r="D1004" s="332" t="s">
        <v>1207</v>
      </c>
      <c r="E1004" s="203" t="s">
        <v>99</v>
      </c>
      <c r="F1004" s="287">
        <v>3</v>
      </c>
      <c r="G1004" s="265"/>
      <c r="H1004" s="266"/>
    </row>
    <row r="1005" spans="2:8" ht="25.5">
      <c r="B1005" s="129" t="s">
        <v>1297</v>
      </c>
      <c r="C1005" s="198" t="s">
        <v>1194</v>
      </c>
      <c r="D1005" s="332" t="s">
        <v>1209</v>
      </c>
      <c r="E1005" s="203" t="s">
        <v>309</v>
      </c>
      <c r="F1005" s="287">
        <v>1</v>
      </c>
      <c r="G1005" s="265"/>
      <c r="H1005" s="266"/>
    </row>
    <row r="1006" spans="2:8">
      <c r="B1006" s="129" t="s">
        <v>1298</v>
      </c>
      <c r="C1006" s="198" t="s">
        <v>1197</v>
      </c>
      <c r="D1006" s="332" t="s">
        <v>1220</v>
      </c>
      <c r="E1006" s="203" t="s">
        <v>209</v>
      </c>
      <c r="F1006" s="287">
        <v>60</v>
      </c>
      <c r="G1006" s="265"/>
      <c r="H1006" s="266"/>
    </row>
    <row r="1007" spans="2:8">
      <c r="B1007" s="129" t="s">
        <v>1299</v>
      </c>
      <c r="C1007" s="198"/>
      <c r="D1007" s="340" t="s">
        <v>719</v>
      </c>
      <c r="E1007" s="203"/>
      <c r="F1007" s="287"/>
      <c r="G1007" s="243"/>
      <c r="H1007" s="244"/>
    </row>
    <row r="1008" spans="2:8">
      <c r="B1008" s="129" t="s">
        <v>1300</v>
      </c>
      <c r="C1008" s="198" t="s">
        <v>1173</v>
      </c>
      <c r="D1008" s="332" t="s">
        <v>1174</v>
      </c>
      <c r="E1008" s="203" t="s">
        <v>55</v>
      </c>
      <c r="F1008" s="287">
        <f>+(14+9.2+11.8)*2.7</f>
        <v>94.5</v>
      </c>
      <c r="G1008" s="265"/>
      <c r="H1008" s="266"/>
    </row>
    <row r="1009" spans="2:8">
      <c r="B1009" s="129" t="s">
        <v>1301</v>
      </c>
      <c r="C1009" s="198" t="s">
        <v>1176</v>
      </c>
      <c r="D1009" s="332" t="s">
        <v>1177</v>
      </c>
      <c r="E1009" s="203" t="s">
        <v>209</v>
      </c>
      <c r="F1009" s="287">
        <v>2.4</v>
      </c>
      <c r="G1009" s="265"/>
      <c r="H1009" s="266"/>
    </row>
    <row r="1010" spans="2:8">
      <c r="B1010" s="129" t="s">
        <v>1302</v>
      </c>
      <c r="C1010" s="198" t="s">
        <v>1176</v>
      </c>
      <c r="D1010" s="332" t="s">
        <v>1179</v>
      </c>
      <c r="E1010" s="203" t="s">
        <v>209</v>
      </c>
      <c r="F1010" s="287">
        <f>+(1.5+0.55)+(1.4+0.55)+(2.4+0.6)</f>
        <v>7</v>
      </c>
      <c r="G1010" s="265"/>
      <c r="H1010" s="266"/>
    </row>
    <row r="1011" spans="2:8">
      <c r="B1011" s="129" t="s">
        <v>1303</v>
      </c>
      <c r="C1011" s="198" t="s">
        <v>1176</v>
      </c>
      <c r="D1011" s="332" t="s">
        <v>1181</v>
      </c>
      <c r="E1011" s="203" t="s">
        <v>209</v>
      </c>
      <c r="F1011" s="287">
        <f>+(1.5+0.55)+(1.4+0.55)+(2.4+0.6)</f>
        <v>7</v>
      </c>
      <c r="G1011" s="265"/>
      <c r="H1011" s="266"/>
    </row>
    <row r="1012" spans="2:8">
      <c r="B1012" s="129" t="s">
        <v>1304</v>
      </c>
      <c r="C1012" s="198" t="s">
        <v>1176</v>
      </c>
      <c r="D1012" s="332" t="s">
        <v>1183</v>
      </c>
      <c r="E1012" s="203" t="s">
        <v>55</v>
      </c>
      <c r="F1012" s="287">
        <f>+(1.5*0.55)+(1.4*0.55)+(2.4*0.6)</f>
        <v>3.0350000000000001</v>
      </c>
      <c r="G1012" s="265"/>
      <c r="H1012" s="266"/>
    </row>
    <row r="1013" spans="2:8">
      <c r="B1013" s="129" t="s">
        <v>1305</v>
      </c>
      <c r="C1013" s="198" t="s">
        <v>1176</v>
      </c>
      <c r="D1013" s="332" t="s">
        <v>1207</v>
      </c>
      <c r="E1013" s="203" t="s">
        <v>99</v>
      </c>
      <c r="F1013" s="287">
        <v>1</v>
      </c>
      <c r="G1013" s="265"/>
      <c r="H1013" s="266"/>
    </row>
    <row r="1014" spans="2:8" ht="25.5">
      <c r="B1014" s="129" t="s">
        <v>1306</v>
      </c>
      <c r="C1014" s="198" t="s">
        <v>1194</v>
      </c>
      <c r="D1014" s="332" t="s">
        <v>1307</v>
      </c>
      <c r="E1014" s="203" t="s">
        <v>309</v>
      </c>
      <c r="F1014" s="287">
        <v>1</v>
      </c>
      <c r="G1014" s="265"/>
      <c r="H1014" s="266"/>
    </row>
    <row r="1015" spans="2:8">
      <c r="B1015" s="129" t="s">
        <v>1308</v>
      </c>
      <c r="C1015" s="198" t="s">
        <v>1197</v>
      </c>
      <c r="D1015" s="332" t="s">
        <v>1220</v>
      </c>
      <c r="E1015" s="203" t="s">
        <v>209</v>
      </c>
      <c r="F1015" s="287">
        <v>79</v>
      </c>
      <c r="G1015" s="265"/>
      <c r="H1015" s="266"/>
    </row>
    <row r="1016" spans="2:8" ht="15">
      <c r="B1016" s="186" t="s">
        <v>1309</v>
      </c>
      <c r="C1016" s="312"/>
      <c r="D1016" s="313" t="s">
        <v>243</v>
      </c>
      <c r="E1016" s="357"/>
      <c r="F1016" s="297"/>
      <c r="G1016" s="233"/>
      <c r="H1016" s="234"/>
    </row>
    <row r="1017" spans="2:8">
      <c r="B1017" s="129" t="s">
        <v>1310</v>
      </c>
      <c r="C1017" s="198"/>
      <c r="D1017" s="345" t="s">
        <v>679</v>
      </c>
      <c r="E1017" s="203"/>
      <c r="F1017" s="287"/>
      <c r="G1017" s="267"/>
      <c r="H1017" s="268"/>
    </row>
    <row r="1018" spans="2:8">
      <c r="B1018" s="129" t="s">
        <v>1311</v>
      </c>
      <c r="C1018" s="198" t="s">
        <v>1197</v>
      </c>
      <c r="D1018" s="332" t="s">
        <v>1220</v>
      </c>
      <c r="E1018" s="203" t="s">
        <v>209</v>
      </c>
      <c r="F1018" s="287">
        <v>91.5</v>
      </c>
      <c r="G1018" s="265"/>
      <c r="H1018" s="266"/>
    </row>
    <row r="1019" spans="2:8">
      <c r="B1019" s="129" t="s">
        <v>1312</v>
      </c>
      <c r="C1019" s="358"/>
      <c r="D1019" s="345" t="s">
        <v>264</v>
      </c>
      <c r="E1019" s="203"/>
      <c r="F1019" s="287"/>
      <c r="G1019" s="267"/>
      <c r="H1019" s="268"/>
    </row>
    <row r="1020" spans="2:8">
      <c r="B1020" s="129" t="s">
        <v>1313</v>
      </c>
      <c r="C1020" s="198" t="s">
        <v>1197</v>
      </c>
      <c r="D1020" s="332" t="s">
        <v>1220</v>
      </c>
      <c r="E1020" s="203" t="s">
        <v>209</v>
      </c>
      <c r="F1020" s="287">
        <v>91.5</v>
      </c>
      <c r="G1020" s="265"/>
      <c r="H1020" s="266"/>
    </row>
    <row r="1021" spans="2:8">
      <c r="B1021" s="129" t="s">
        <v>1314</v>
      </c>
      <c r="C1021" s="198"/>
      <c r="D1021" s="345" t="s">
        <v>272</v>
      </c>
      <c r="E1021" s="203"/>
      <c r="F1021" s="287"/>
      <c r="G1021" s="267"/>
      <c r="H1021" s="268"/>
    </row>
    <row r="1022" spans="2:8">
      <c r="B1022" s="129" t="s">
        <v>1315</v>
      </c>
      <c r="C1022" s="198" t="s">
        <v>1197</v>
      </c>
      <c r="D1022" s="332" t="s">
        <v>1220</v>
      </c>
      <c r="E1022" s="203" t="s">
        <v>209</v>
      </c>
      <c r="F1022" s="287">
        <v>91.5</v>
      </c>
      <c r="G1022" s="265"/>
      <c r="H1022" s="266"/>
    </row>
    <row r="1023" spans="2:8">
      <c r="B1023" s="129" t="s">
        <v>1316</v>
      </c>
      <c r="C1023" s="198"/>
      <c r="D1023" s="345" t="s">
        <v>1229</v>
      </c>
      <c r="E1023" s="203"/>
      <c r="F1023" s="287"/>
      <c r="G1023" s="267"/>
      <c r="H1023" s="268"/>
    </row>
    <row r="1024" spans="2:8">
      <c r="B1024" s="129" t="s">
        <v>1230</v>
      </c>
      <c r="C1024" s="198" t="s">
        <v>1197</v>
      </c>
      <c r="D1024" s="332" t="s">
        <v>1220</v>
      </c>
      <c r="E1024" s="203" t="s">
        <v>209</v>
      </c>
      <c r="F1024" s="287">
        <v>91.5</v>
      </c>
      <c r="G1024" s="265"/>
      <c r="H1024" s="266"/>
    </row>
    <row r="1025" spans="2:8" ht="15">
      <c r="B1025" s="186" t="s">
        <v>1317</v>
      </c>
      <c r="C1025" s="312"/>
      <c r="D1025" s="313" t="s">
        <v>112</v>
      </c>
      <c r="E1025" s="357"/>
      <c r="F1025" s="297"/>
      <c r="G1025" s="233"/>
      <c r="H1025" s="234"/>
    </row>
    <row r="1026" spans="2:8">
      <c r="B1026" s="129" t="s">
        <v>1318</v>
      </c>
      <c r="C1026" s="333"/>
      <c r="D1026" s="340" t="s">
        <v>801</v>
      </c>
      <c r="E1026" s="203"/>
      <c r="F1026" s="287"/>
      <c r="G1026" s="243"/>
      <c r="H1026" s="244"/>
    </row>
    <row r="1027" spans="2:8">
      <c r="B1027" s="129" t="s">
        <v>1319</v>
      </c>
      <c r="C1027" s="198" t="s">
        <v>1173</v>
      </c>
      <c r="D1027" s="332" t="s">
        <v>1174</v>
      </c>
      <c r="E1027" s="203" t="s">
        <v>55</v>
      </c>
      <c r="F1027" s="287">
        <f>6.4*2*2.7+(12.4+8.1+14.3)*2.7</f>
        <v>128.51999999999998</v>
      </c>
      <c r="G1027" s="265"/>
      <c r="H1027" s="266"/>
    </row>
    <row r="1028" spans="2:8">
      <c r="B1028" s="129" t="s">
        <v>1320</v>
      </c>
      <c r="C1028" s="198" t="s">
        <v>1176</v>
      </c>
      <c r="D1028" s="332" t="s">
        <v>1177</v>
      </c>
      <c r="E1028" s="203" t="s">
        <v>209</v>
      </c>
      <c r="F1028" s="287">
        <f>0.8+1.8</f>
        <v>2.6</v>
      </c>
      <c r="G1028" s="265"/>
      <c r="H1028" s="266"/>
    </row>
    <row r="1029" spans="2:8">
      <c r="B1029" s="129" t="s">
        <v>1321</v>
      </c>
      <c r="C1029" s="198" t="s">
        <v>1176</v>
      </c>
      <c r="D1029" s="332" t="s">
        <v>1179</v>
      </c>
      <c r="E1029" s="203" t="s">
        <v>209</v>
      </c>
      <c r="F1029" s="287">
        <f>+(0.8+0.55)*2+(1.8+0.55)*2</f>
        <v>7.4</v>
      </c>
      <c r="G1029" s="265"/>
      <c r="H1029" s="266"/>
    </row>
    <row r="1030" spans="2:8">
      <c r="B1030" s="129" t="s">
        <v>1322</v>
      </c>
      <c r="C1030" s="198" t="s">
        <v>1176</v>
      </c>
      <c r="D1030" s="332" t="s">
        <v>1181</v>
      </c>
      <c r="E1030" s="203" t="s">
        <v>209</v>
      </c>
      <c r="F1030" s="287">
        <f>+(0.8+0.55)*2+(1.8+0.55)*2</f>
        <v>7.4</v>
      </c>
      <c r="G1030" s="265"/>
      <c r="H1030" s="266"/>
    </row>
    <row r="1031" spans="2:8">
      <c r="B1031" s="129" t="s">
        <v>1323</v>
      </c>
      <c r="C1031" s="198" t="s">
        <v>1176</v>
      </c>
      <c r="D1031" s="332" t="s">
        <v>1183</v>
      </c>
      <c r="E1031" s="203" t="s">
        <v>55</v>
      </c>
      <c r="F1031" s="287">
        <f>0.8*0.55*2+1.8*0.55*2</f>
        <v>2.8600000000000003</v>
      </c>
      <c r="G1031" s="265"/>
      <c r="H1031" s="266"/>
    </row>
    <row r="1032" spans="2:8">
      <c r="B1032" s="129" t="s">
        <v>1324</v>
      </c>
      <c r="C1032" s="198" t="s">
        <v>1176</v>
      </c>
      <c r="D1032" s="332" t="s">
        <v>1207</v>
      </c>
      <c r="E1032" s="203" t="s">
        <v>99</v>
      </c>
      <c r="F1032" s="287">
        <v>1</v>
      </c>
      <c r="G1032" s="265"/>
      <c r="H1032" s="266"/>
    </row>
    <row r="1033" spans="2:8">
      <c r="B1033" s="129" t="s">
        <v>1325</v>
      </c>
      <c r="C1033" s="198" t="s">
        <v>1194</v>
      </c>
      <c r="D1033" s="332" t="s">
        <v>1326</v>
      </c>
      <c r="E1033" s="203" t="s">
        <v>309</v>
      </c>
      <c r="F1033" s="287">
        <v>1</v>
      </c>
      <c r="G1033" s="265"/>
      <c r="H1033" s="266"/>
    </row>
    <row r="1034" spans="2:8">
      <c r="B1034" s="129" t="s">
        <v>1327</v>
      </c>
      <c r="C1034" s="198" t="s">
        <v>1328</v>
      </c>
      <c r="D1034" s="332" t="s">
        <v>1329</v>
      </c>
      <c r="E1034" s="203" t="s">
        <v>99</v>
      </c>
      <c r="F1034" s="287">
        <v>3</v>
      </c>
      <c r="G1034" s="265"/>
      <c r="H1034" s="266"/>
    </row>
    <row r="1035" spans="2:8">
      <c r="B1035" s="129" t="s">
        <v>1318</v>
      </c>
      <c r="C1035" s="198"/>
      <c r="D1035" s="332" t="s">
        <v>398</v>
      </c>
      <c r="E1035" s="203"/>
      <c r="F1035" s="287"/>
      <c r="G1035" s="265"/>
      <c r="H1035" s="266"/>
    </row>
    <row r="1036" spans="2:8">
      <c r="B1036" s="129" t="s">
        <v>1319</v>
      </c>
      <c r="C1036" s="198" t="s">
        <v>1173</v>
      </c>
      <c r="D1036" s="332" t="s">
        <v>1174</v>
      </c>
      <c r="E1036" s="203" t="s">
        <v>55</v>
      </c>
      <c r="F1036" s="287">
        <f>+(14.7+12+10+20+8)*2.7</f>
        <v>174.69000000000003</v>
      </c>
      <c r="G1036" s="265"/>
      <c r="H1036" s="266"/>
    </row>
    <row r="1037" spans="2:8">
      <c r="B1037" s="129" t="s">
        <v>1320</v>
      </c>
      <c r="C1037" s="198" t="s">
        <v>1176</v>
      </c>
      <c r="D1037" s="332" t="s">
        <v>1177</v>
      </c>
      <c r="E1037" s="203" t="s">
        <v>209</v>
      </c>
      <c r="F1037" s="287">
        <v>1.8</v>
      </c>
      <c r="G1037" s="265"/>
      <c r="H1037" s="266"/>
    </row>
    <row r="1038" spans="2:8">
      <c r="B1038" s="129" t="s">
        <v>1321</v>
      </c>
      <c r="C1038" s="198" t="s">
        <v>1176</v>
      </c>
      <c r="D1038" s="332" t="s">
        <v>1179</v>
      </c>
      <c r="E1038" s="203" t="s">
        <v>209</v>
      </c>
      <c r="F1038" s="287">
        <f>+(1.8+0.55)*2</f>
        <v>4.7</v>
      </c>
      <c r="G1038" s="265"/>
      <c r="H1038" s="266"/>
    </row>
    <row r="1039" spans="2:8">
      <c r="B1039" s="129" t="s">
        <v>1322</v>
      </c>
      <c r="C1039" s="198" t="s">
        <v>1176</v>
      </c>
      <c r="D1039" s="332" t="s">
        <v>1181</v>
      </c>
      <c r="E1039" s="203" t="s">
        <v>209</v>
      </c>
      <c r="F1039" s="287">
        <f>+(1.8+0.55)*2</f>
        <v>4.7</v>
      </c>
      <c r="G1039" s="265"/>
      <c r="H1039" s="266"/>
    </row>
    <row r="1040" spans="2:8">
      <c r="B1040" s="129" t="s">
        <v>1323</v>
      </c>
      <c r="C1040" s="198" t="s">
        <v>1176</v>
      </c>
      <c r="D1040" s="332" t="s">
        <v>1183</v>
      </c>
      <c r="E1040" s="203" t="s">
        <v>55</v>
      </c>
      <c r="F1040" s="287">
        <f>+(1.8*0.55)*2</f>
        <v>1.9800000000000002</v>
      </c>
      <c r="G1040" s="265"/>
      <c r="H1040" s="266"/>
    </row>
    <row r="1041" spans="2:8">
      <c r="B1041" s="129" t="s">
        <v>1324</v>
      </c>
      <c r="C1041" s="198" t="s">
        <v>1176</v>
      </c>
      <c r="D1041" s="332" t="s">
        <v>1207</v>
      </c>
      <c r="E1041" s="203" t="s">
        <v>99</v>
      </c>
      <c r="F1041" s="287">
        <v>3</v>
      </c>
      <c r="G1041" s="265"/>
      <c r="H1041" s="266"/>
    </row>
    <row r="1042" spans="2:8">
      <c r="B1042" s="129" t="s">
        <v>1325</v>
      </c>
      <c r="C1042" s="198" t="s">
        <v>1194</v>
      </c>
      <c r="D1042" s="332" t="s">
        <v>1326</v>
      </c>
      <c r="E1042" s="203" t="s">
        <v>309</v>
      </c>
      <c r="F1042" s="287">
        <v>1</v>
      </c>
      <c r="G1042" s="265"/>
      <c r="H1042" s="266"/>
    </row>
    <row r="1043" spans="2:8">
      <c r="B1043" s="129" t="s">
        <v>1327</v>
      </c>
      <c r="C1043" s="198" t="s">
        <v>1191</v>
      </c>
      <c r="D1043" s="332" t="s">
        <v>1192</v>
      </c>
      <c r="E1043" s="203" t="s">
        <v>99</v>
      </c>
      <c r="F1043" s="287">
        <v>13</v>
      </c>
      <c r="G1043" s="265"/>
      <c r="H1043" s="266"/>
    </row>
    <row r="1044" spans="2:8">
      <c r="B1044" s="129" t="s">
        <v>1330</v>
      </c>
      <c r="C1044" s="198" t="s">
        <v>1176</v>
      </c>
      <c r="D1044" s="332" t="s">
        <v>1331</v>
      </c>
      <c r="E1044" s="203" t="s">
        <v>55</v>
      </c>
      <c r="F1044" s="287">
        <f>+(4.5+6+2.83)*0.6</f>
        <v>7.9979999999999993</v>
      </c>
      <c r="G1044" s="265"/>
      <c r="H1044" s="266"/>
    </row>
    <row r="1045" spans="2:8">
      <c r="B1045" s="129" t="s">
        <v>1332</v>
      </c>
      <c r="C1045" s="198" t="s">
        <v>1176</v>
      </c>
      <c r="D1045" s="332" t="s">
        <v>1333</v>
      </c>
      <c r="E1045" s="203" t="s">
        <v>209</v>
      </c>
      <c r="F1045" s="287">
        <f>4.5+6+2.8+0.6</f>
        <v>13.9</v>
      </c>
      <c r="G1045" s="265"/>
      <c r="H1045" s="266"/>
    </row>
    <row r="1046" spans="2:8">
      <c r="B1046" s="129" t="s">
        <v>1334</v>
      </c>
      <c r="C1046" s="198" t="s">
        <v>1176</v>
      </c>
      <c r="D1046" s="332" t="s">
        <v>1335</v>
      </c>
      <c r="E1046" s="203" t="s">
        <v>209</v>
      </c>
      <c r="F1046" s="287">
        <f>6-0.6+2.8</f>
        <v>8.1999999999999993</v>
      </c>
      <c r="G1046" s="265"/>
      <c r="H1046" s="266"/>
    </row>
    <row r="1047" spans="2:8" ht="15">
      <c r="B1047" s="186" t="s">
        <v>1336</v>
      </c>
      <c r="C1047" s="312"/>
      <c r="D1047" s="313" t="s">
        <v>407</v>
      </c>
      <c r="E1047" s="357"/>
      <c r="F1047" s="297"/>
      <c r="G1047" s="233"/>
      <c r="H1047" s="234"/>
    </row>
    <row r="1048" spans="2:8">
      <c r="B1048" s="129" t="s">
        <v>1337</v>
      </c>
      <c r="C1048" s="198"/>
      <c r="D1048" s="332" t="s">
        <v>1338</v>
      </c>
      <c r="E1048" s="203"/>
      <c r="F1048" s="287"/>
      <c r="G1048" s="265"/>
      <c r="H1048" s="266"/>
    </row>
    <row r="1049" spans="2:8">
      <c r="B1049" s="129" t="s">
        <v>1339</v>
      </c>
      <c r="C1049" s="198" t="s">
        <v>1173</v>
      </c>
      <c r="D1049" s="332" t="s">
        <v>1174</v>
      </c>
      <c r="E1049" s="203" t="s">
        <v>55</v>
      </c>
      <c r="F1049" s="287">
        <f>+(9+7)*2.7+14*3+13*3</f>
        <v>124.2</v>
      </c>
      <c r="G1049" s="265"/>
      <c r="H1049" s="266"/>
    </row>
    <row r="1050" spans="2:8">
      <c r="B1050" s="129" t="s">
        <v>1340</v>
      </c>
      <c r="C1050" s="198" t="s">
        <v>1176</v>
      </c>
      <c r="D1050" s="332" t="s">
        <v>1341</v>
      </c>
      <c r="E1050" s="203" t="s">
        <v>209</v>
      </c>
      <c r="F1050" s="287">
        <v>1.6</v>
      </c>
      <c r="G1050" s="265"/>
      <c r="H1050" s="266"/>
    </row>
    <row r="1051" spans="2:8">
      <c r="B1051" s="129" t="s">
        <v>1342</v>
      </c>
      <c r="C1051" s="198" t="s">
        <v>1176</v>
      </c>
      <c r="D1051" s="332" t="s">
        <v>1343</v>
      </c>
      <c r="E1051" s="203" t="s">
        <v>209</v>
      </c>
      <c r="F1051" s="287">
        <v>1.6</v>
      </c>
      <c r="G1051" s="265"/>
      <c r="H1051" s="266"/>
    </row>
    <row r="1052" spans="2:8">
      <c r="B1052" s="129" t="s">
        <v>1344</v>
      </c>
      <c r="C1052" s="198" t="s">
        <v>1176</v>
      </c>
      <c r="D1052" s="332" t="s">
        <v>1345</v>
      </c>
      <c r="E1052" s="203" t="s">
        <v>55</v>
      </c>
      <c r="F1052" s="287">
        <v>0.6</v>
      </c>
      <c r="G1052" s="265"/>
      <c r="H1052" s="266"/>
    </row>
    <row r="1053" spans="2:8">
      <c r="B1053" s="129" t="s">
        <v>1346</v>
      </c>
      <c r="C1053" s="198" t="s">
        <v>1176</v>
      </c>
      <c r="D1053" s="332" t="s">
        <v>1331</v>
      </c>
      <c r="E1053" s="203" t="s">
        <v>55</v>
      </c>
      <c r="F1053" s="287">
        <f>+(3+2.22+1.1)*0.6</f>
        <v>3.7919999999999998</v>
      </c>
      <c r="G1053" s="265"/>
      <c r="H1053" s="266"/>
    </row>
    <row r="1054" spans="2:8">
      <c r="B1054" s="129" t="s">
        <v>1347</v>
      </c>
      <c r="C1054" s="198" t="s">
        <v>1176</v>
      </c>
      <c r="D1054" s="332" t="s">
        <v>1333</v>
      </c>
      <c r="E1054" s="203" t="s">
        <v>209</v>
      </c>
      <c r="F1054" s="287">
        <f>3+0.6+2.22+0.6+1.1</f>
        <v>7.52</v>
      </c>
      <c r="G1054" s="265"/>
      <c r="H1054" s="266"/>
    </row>
    <row r="1055" spans="2:8">
      <c r="B1055" s="129" t="s">
        <v>1348</v>
      </c>
      <c r="C1055" s="198" t="s">
        <v>1176</v>
      </c>
      <c r="D1055" s="332" t="s">
        <v>1335</v>
      </c>
      <c r="E1055" s="203" t="s">
        <v>209</v>
      </c>
      <c r="F1055" s="287">
        <f>5.4+2.22+0.5</f>
        <v>8.120000000000001</v>
      </c>
      <c r="G1055" s="265"/>
      <c r="H1055" s="266"/>
    </row>
    <row r="1056" spans="2:8">
      <c r="B1056" s="129" t="s">
        <v>1349</v>
      </c>
      <c r="C1056" s="198"/>
      <c r="D1056" s="332" t="s">
        <v>607</v>
      </c>
      <c r="E1056" s="203"/>
      <c r="F1056" s="287"/>
      <c r="G1056" s="265"/>
      <c r="H1056" s="266"/>
    </row>
    <row r="1057" spans="2:8">
      <c r="B1057" s="129" t="s">
        <v>1350</v>
      </c>
      <c r="C1057" s="198" t="s">
        <v>1173</v>
      </c>
      <c r="D1057" s="332" t="s">
        <v>1174</v>
      </c>
      <c r="E1057" s="203" t="s">
        <v>55</v>
      </c>
      <c r="F1057" s="287">
        <f>34*3</f>
        <v>102</v>
      </c>
      <c r="G1057" s="265"/>
      <c r="H1057" s="266"/>
    </row>
    <row r="1058" spans="2:8">
      <c r="B1058" s="129" t="s">
        <v>1351</v>
      </c>
      <c r="C1058" s="198" t="s">
        <v>1176</v>
      </c>
      <c r="D1058" s="332" t="s">
        <v>1177</v>
      </c>
      <c r="E1058" s="203" t="s">
        <v>209</v>
      </c>
      <c r="F1058" s="287">
        <v>1.6</v>
      </c>
      <c r="G1058" s="265"/>
      <c r="H1058" s="266"/>
    </row>
    <row r="1059" spans="2:8">
      <c r="B1059" s="129" t="s">
        <v>1352</v>
      </c>
      <c r="C1059" s="198" t="s">
        <v>1176</v>
      </c>
      <c r="D1059" s="332" t="s">
        <v>1179</v>
      </c>
      <c r="E1059" s="203" t="s">
        <v>209</v>
      </c>
      <c r="F1059" s="287">
        <f>1.6+0.55+1.6+0.55</f>
        <v>4.3000000000000007</v>
      </c>
      <c r="G1059" s="265"/>
      <c r="H1059" s="266"/>
    </row>
    <row r="1060" spans="2:8">
      <c r="B1060" s="129" t="s">
        <v>1353</v>
      </c>
      <c r="C1060" s="198" t="s">
        <v>1176</v>
      </c>
      <c r="D1060" s="332" t="s">
        <v>1181</v>
      </c>
      <c r="E1060" s="203" t="s">
        <v>209</v>
      </c>
      <c r="F1060" s="287">
        <f>1.6+0.55+1.6+0.55</f>
        <v>4.3000000000000007</v>
      </c>
      <c r="G1060" s="265"/>
      <c r="H1060" s="266"/>
    </row>
    <row r="1061" spans="2:8">
      <c r="B1061" s="129" t="s">
        <v>1354</v>
      </c>
      <c r="C1061" s="198" t="s">
        <v>1176</v>
      </c>
      <c r="D1061" s="332" t="s">
        <v>1183</v>
      </c>
      <c r="E1061" s="203" t="s">
        <v>55</v>
      </c>
      <c r="F1061" s="287">
        <f>1.6*0.55*2</f>
        <v>1.7600000000000002</v>
      </c>
      <c r="G1061" s="265"/>
      <c r="H1061" s="266"/>
    </row>
    <row r="1062" spans="2:8" ht="13.5" thickBot="1">
      <c r="B1062" s="129" t="s">
        <v>1355</v>
      </c>
      <c r="C1062" s="198" t="s">
        <v>1176</v>
      </c>
      <c r="D1062" s="332" t="s">
        <v>1207</v>
      </c>
      <c r="E1062" s="203" t="s">
        <v>99</v>
      </c>
      <c r="F1062" s="287">
        <v>3</v>
      </c>
      <c r="G1062" s="265"/>
      <c r="H1062" s="266"/>
    </row>
    <row r="1063" spans="2:8" ht="16.5" thickBot="1">
      <c r="B1063" s="479" t="s">
        <v>1356</v>
      </c>
      <c r="C1063" s="480" t="s">
        <v>1357</v>
      </c>
      <c r="D1063" s="481" t="s">
        <v>1358</v>
      </c>
      <c r="E1063" s="482"/>
      <c r="F1063" s="483"/>
      <c r="G1063" s="493"/>
      <c r="H1063" s="280"/>
    </row>
    <row r="1064" spans="2:8" ht="15">
      <c r="B1064" s="486" t="s">
        <v>1359</v>
      </c>
      <c r="C1064" s="487"/>
      <c r="D1064" s="488" t="s">
        <v>1360</v>
      </c>
      <c r="E1064" s="489"/>
      <c r="F1064" s="490"/>
      <c r="G1064" s="491"/>
      <c r="H1064" s="492"/>
    </row>
    <row r="1065" spans="2:8">
      <c r="B1065" s="183" t="s">
        <v>1361</v>
      </c>
      <c r="C1065" s="198"/>
      <c r="D1065" s="332" t="s">
        <v>1362</v>
      </c>
      <c r="E1065" s="198" t="s">
        <v>99</v>
      </c>
      <c r="F1065" s="281">
        <v>2</v>
      </c>
      <c r="G1065" s="229"/>
      <c r="H1065" s="230"/>
    </row>
    <row r="1066" spans="2:8">
      <c r="B1066" s="183" t="s">
        <v>1363</v>
      </c>
      <c r="C1066" s="198"/>
      <c r="D1066" s="332" t="s">
        <v>1364</v>
      </c>
      <c r="E1066" s="198" t="s">
        <v>99</v>
      </c>
      <c r="F1066" s="281">
        <v>2</v>
      </c>
      <c r="G1066" s="229"/>
      <c r="H1066" s="230"/>
    </row>
    <row r="1067" spans="2:8">
      <c r="B1067" s="183" t="s">
        <v>1365</v>
      </c>
      <c r="C1067" s="198"/>
      <c r="D1067" s="332" t="s">
        <v>1366</v>
      </c>
      <c r="E1067" s="198" t="s">
        <v>99</v>
      </c>
      <c r="F1067" s="281">
        <v>2</v>
      </c>
      <c r="G1067" s="265"/>
      <c r="H1067" s="269"/>
    </row>
    <row r="1068" spans="2:8" ht="15">
      <c r="B1068" s="186" t="s">
        <v>1367</v>
      </c>
      <c r="C1068" s="312"/>
      <c r="D1068" s="313" t="s">
        <v>1368</v>
      </c>
      <c r="E1068" s="314"/>
      <c r="F1068" s="283"/>
      <c r="G1068" s="233"/>
      <c r="H1068" s="234"/>
    </row>
    <row r="1069" spans="2:8">
      <c r="B1069" s="183" t="s">
        <v>1369</v>
      </c>
      <c r="C1069" s="198"/>
      <c r="D1069" s="332" t="s">
        <v>1362</v>
      </c>
      <c r="E1069" s="198" t="s">
        <v>99</v>
      </c>
      <c r="F1069" s="281">
        <v>2</v>
      </c>
      <c r="G1069" s="229"/>
      <c r="H1069" s="230"/>
    </row>
    <row r="1070" spans="2:8">
      <c r="B1070" s="183" t="s">
        <v>1370</v>
      </c>
      <c r="C1070" s="198"/>
      <c r="D1070" s="332" t="s">
        <v>1364</v>
      </c>
      <c r="E1070" s="198" t="s">
        <v>99</v>
      </c>
      <c r="F1070" s="281">
        <v>24</v>
      </c>
      <c r="G1070" s="229"/>
      <c r="H1070" s="230"/>
    </row>
    <row r="1071" spans="2:8" ht="25.5">
      <c r="B1071" s="183" t="s">
        <v>1371</v>
      </c>
      <c r="C1071" s="198"/>
      <c r="D1071" s="332" t="s">
        <v>1372</v>
      </c>
      <c r="E1071" s="198" t="s">
        <v>99</v>
      </c>
      <c r="F1071" s="281">
        <v>2</v>
      </c>
      <c r="G1071" s="229"/>
      <c r="H1071" s="230"/>
    </row>
    <row r="1072" spans="2:8">
      <c r="B1072" s="183" t="s">
        <v>1373</v>
      </c>
      <c r="C1072" s="198"/>
      <c r="D1072" s="332" t="s">
        <v>1374</v>
      </c>
      <c r="E1072" s="198" t="s">
        <v>99</v>
      </c>
      <c r="F1072" s="281">
        <v>4</v>
      </c>
      <c r="G1072" s="229"/>
      <c r="H1072" s="230"/>
    </row>
    <row r="1073" spans="2:8">
      <c r="B1073" s="183" t="s">
        <v>1375</v>
      </c>
      <c r="C1073" s="198"/>
      <c r="D1073" s="332" t="s">
        <v>1366</v>
      </c>
      <c r="E1073" s="198" t="s">
        <v>99</v>
      </c>
      <c r="F1073" s="281">
        <v>2</v>
      </c>
      <c r="G1073" s="229"/>
      <c r="H1073" s="230"/>
    </row>
    <row r="1074" spans="2:8">
      <c r="B1074" s="183" t="s">
        <v>1376</v>
      </c>
      <c r="C1074" s="198"/>
      <c r="D1074" s="332" t="s">
        <v>1377</v>
      </c>
      <c r="E1074" s="198" t="s">
        <v>99</v>
      </c>
      <c r="F1074" s="281">
        <v>2</v>
      </c>
      <c r="G1074" s="229"/>
      <c r="H1074" s="230"/>
    </row>
    <row r="1075" spans="2:8" ht="25.5">
      <c r="B1075" s="183" t="s">
        <v>1378</v>
      </c>
      <c r="C1075" s="198"/>
      <c r="D1075" s="332" t="s">
        <v>1379</v>
      </c>
      <c r="E1075" s="198" t="s">
        <v>99</v>
      </c>
      <c r="F1075" s="281">
        <v>2</v>
      </c>
      <c r="G1075" s="229"/>
      <c r="H1075" s="230"/>
    </row>
    <row r="1076" spans="2:8" ht="15">
      <c r="B1076" s="186" t="s">
        <v>1380</v>
      </c>
      <c r="C1076" s="312"/>
      <c r="D1076" s="313" t="s">
        <v>1381</v>
      </c>
      <c r="E1076" s="314"/>
      <c r="F1076" s="283"/>
      <c r="G1076" s="233"/>
      <c r="H1076" s="234"/>
    </row>
    <row r="1077" spans="2:8">
      <c r="B1077" s="183" t="s">
        <v>1382</v>
      </c>
      <c r="C1077" s="198"/>
      <c r="D1077" s="332" t="s">
        <v>1362</v>
      </c>
      <c r="E1077" s="198" t="s">
        <v>99</v>
      </c>
      <c r="F1077" s="281">
        <v>1</v>
      </c>
      <c r="G1077" s="229"/>
      <c r="H1077" s="230"/>
    </row>
    <row r="1078" spans="2:8">
      <c r="B1078" s="183" t="s">
        <v>1383</v>
      </c>
      <c r="C1078" s="198"/>
      <c r="D1078" s="332" t="s">
        <v>1364</v>
      </c>
      <c r="E1078" s="198" t="s">
        <v>99</v>
      </c>
      <c r="F1078" s="281">
        <v>15</v>
      </c>
      <c r="G1078" s="229"/>
      <c r="H1078" s="230"/>
    </row>
    <row r="1079" spans="2:8" ht="25.5">
      <c r="B1079" s="183" t="s">
        <v>1384</v>
      </c>
      <c r="C1079" s="198"/>
      <c r="D1079" s="332" t="s">
        <v>1372</v>
      </c>
      <c r="E1079" s="198" t="s">
        <v>99</v>
      </c>
      <c r="F1079" s="281">
        <v>5</v>
      </c>
      <c r="G1079" s="229"/>
      <c r="H1079" s="230"/>
    </row>
    <row r="1080" spans="2:8">
      <c r="B1080" s="183" t="s">
        <v>1385</v>
      </c>
      <c r="C1080" s="198"/>
      <c r="D1080" s="332" t="s">
        <v>1374</v>
      </c>
      <c r="E1080" s="198" t="s">
        <v>99</v>
      </c>
      <c r="F1080" s="281">
        <v>2</v>
      </c>
      <c r="G1080" s="229"/>
      <c r="H1080" s="230"/>
    </row>
    <row r="1081" spans="2:8">
      <c r="B1081" s="183" t="s">
        <v>1386</v>
      </c>
      <c r="C1081" s="198"/>
      <c r="D1081" s="332" t="s">
        <v>1366</v>
      </c>
      <c r="E1081" s="198" t="s">
        <v>99</v>
      </c>
      <c r="F1081" s="281">
        <v>1</v>
      </c>
      <c r="G1081" s="229"/>
      <c r="H1081" s="230"/>
    </row>
    <row r="1082" spans="2:8">
      <c r="B1082" s="183" t="s">
        <v>1387</v>
      </c>
      <c r="C1082" s="198"/>
      <c r="D1082" s="332" t="s">
        <v>1377</v>
      </c>
      <c r="E1082" s="198" t="s">
        <v>99</v>
      </c>
      <c r="F1082" s="281">
        <v>3</v>
      </c>
      <c r="G1082" s="229"/>
      <c r="H1082" s="230"/>
    </row>
    <row r="1083" spans="2:8" ht="25.5">
      <c r="B1083" s="183" t="s">
        <v>1388</v>
      </c>
      <c r="C1083" s="198"/>
      <c r="D1083" s="332" t="s">
        <v>1389</v>
      </c>
      <c r="E1083" s="198" t="s">
        <v>99</v>
      </c>
      <c r="F1083" s="281">
        <v>1</v>
      </c>
      <c r="G1083" s="229"/>
      <c r="H1083" s="230"/>
    </row>
    <row r="1084" spans="2:8" ht="25.5">
      <c r="B1084" s="183" t="s">
        <v>1390</v>
      </c>
      <c r="C1084" s="198"/>
      <c r="D1084" s="332" t="s">
        <v>1391</v>
      </c>
      <c r="E1084" s="198" t="s">
        <v>99</v>
      </c>
      <c r="F1084" s="281"/>
      <c r="G1084" s="229"/>
      <c r="H1084" s="230"/>
    </row>
    <row r="1085" spans="2:8" ht="15">
      <c r="B1085" s="186" t="s">
        <v>1392</v>
      </c>
      <c r="C1085" s="312"/>
      <c r="D1085" s="313" t="s">
        <v>1393</v>
      </c>
      <c r="E1085" s="314"/>
      <c r="F1085" s="283"/>
      <c r="G1085" s="233"/>
      <c r="H1085" s="234"/>
    </row>
    <row r="1086" spans="2:8">
      <c r="B1086" s="183" t="s">
        <v>1394</v>
      </c>
      <c r="C1086" s="198"/>
      <c r="D1086" s="332" t="s">
        <v>1364</v>
      </c>
      <c r="E1086" s="198" t="s">
        <v>99</v>
      </c>
      <c r="F1086" s="281">
        <v>8</v>
      </c>
      <c r="G1086" s="229"/>
      <c r="H1086" s="230"/>
    </row>
    <row r="1087" spans="2:8">
      <c r="B1087" s="183" t="s">
        <v>1395</v>
      </c>
      <c r="C1087" s="198"/>
      <c r="D1087" s="332" t="s">
        <v>1374</v>
      </c>
      <c r="E1087" s="198" t="s">
        <v>99</v>
      </c>
      <c r="F1087" s="281">
        <v>2</v>
      </c>
      <c r="G1087" s="229"/>
      <c r="H1087" s="230"/>
    </row>
    <row r="1088" spans="2:8">
      <c r="B1088" s="183" t="s">
        <v>1396</v>
      </c>
      <c r="C1088" s="198"/>
      <c r="D1088" s="332" t="s">
        <v>1366</v>
      </c>
      <c r="E1088" s="198" t="s">
        <v>99</v>
      </c>
      <c r="F1088" s="295">
        <v>2</v>
      </c>
      <c r="G1088" s="249"/>
      <c r="H1088" s="248"/>
    </row>
    <row r="1089" spans="2:8" ht="15">
      <c r="B1089" s="186" t="s">
        <v>1397</v>
      </c>
      <c r="C1089" s="312"/>
      <c r="D1089" s="313" t="s">
        <v>1398</v>
      </c>
      <c r="E1089" s="314"/>
      <c r="F1089" s="283"/>
      <c r="G1089" s="233"/>
      <c r="H1089" s="234"/>
    </row>
    <row r="1090" spans="2:8">
      <c r="B1090" s="191" t="s">
        <v>1399</v>
      </c>
      <c r="C1090" s="198"/>
      <c r="D1090" s="332" t="s">
        <v>1364</v>
      </c>
      <c r="E1090" s="198" t="s">
        <v>99</v>
      </c>
      <c r="F1090" s="295">
        <v>7</v>
      </c>
      <c r="G1090" s="249"/>
      <c r="H1090" s="248"/>
    </row>
    <row r="1091" spans="2:8">
      <c r="B1091" s="191" t="s">
        <v>1400</v>
      </c>
      <c r="C1091" s="198"/>
      <c r="D1091" s="332" t="s">
        <v>1374</v>
      </c>
      <c r="E1091" s="198" t="s">
        <v>99</v>
      </c>
      <c r="F1091" s="281">
        <v>3</v>
      </c>
      <c r="G1091" s="229"/>
      <c r="H1091" s="235"/>
    </row>
    <row r="1092" spans="2:8">
      <c r="B1092" s="191" t="s">
        <v>1401</v>
      </c>
      <c r="C1092" s="198"/>
      <c r="D1092" s="332" t="s">
        <v>1366</v>
      </c>
      <c r="E1092" s="198" t="s">
        <v>99</v>
      </c>
      <c r="F1092" s="281">
        <v>2</v>
      </c>
      <c r="G1092" s="229"/>
      <c r="H1092" s="235"/>
    </row>
    <row r="1093" spans="2:8">
      <c r="B1093" s="191" t="s">
        <v>1402</v>
      </c>
      <c r="C1093" s="198"/>
      <c r="D1093" s="332" t="s">
        <v>1377</v>
      </c>
      <c r="E1093" s="198" t="s">
        <v>99</v>
      </c>
      <c r="F1093" s="287">
        <v>1</v>
      </c>
      <c r="G1093" s="229"/>
      <c r="H1093" s="235"/>
    </row>
    <row r="1094" spans="2:8" ht="15">
      <c r="B1094" s="186" t="s">
        <v>1403</v>
      </c>
      <c r="C1094" s="312"/>
      <c r="D1094" s="313" t="s">
        <v>1404</v>
      </c>
      <c r="E1094" s="314"/>
      <c r="F1094" s="283"/>
      <c r="G1094" s="233"/>
      <c r="H1094" s="234"/>
    </row>
    <row r="1095" spans="2:8">
      <c r="B1095" s="183" t="s">
        <v>1405</v>
      </c>
      <c r="C1095" s="198"/>
      <c r="D1095" s="332" t="s">
        <v>1364</v>
      </c>
      <c r="E1095" s="198" t="s">
        <v>99</v>
      </c>
      <c r="F1095" s="281">
        <v>8</v>
      </c>
      <c r="G1095" s="229"/>
      <c r="H1095" s="235"/>
    </row>
    <row r="1096" spans="2:8">
      <c r="B1096" s="183" t="s">
        <v>1406</v>
      </c>
      <c r="C1096" s="198"/>
      <c r="D1096" s="332" t="s">
        <v>1374</v>
      </c>
      <c r="E1096" s="198" t="s">
        <v>99</v>
      </c>
      <c r="F1096" s="281">
        <v>2</v>
      </c>
      <c r="G1096" s="229"/>
      <c r="H1096" s="235"/>
    </row>
    <row r="1097" spans="2:8">
      <c r="B1097" s="183" t="s">
        <v>1407</v>
      </c>
      <c r="C1097" s="198"/>
      <c r="D1097" s="332" t="s">
        <v>1366</v>
      </c>
      <c r="E1097" s="198" t="s">
        <v>99</v>
      </c>
      <c r="F1097" s="287">
        <v>2</v>
      </c>
      <c r="G1097" s="229"/>
      <c r="H1097" s="235"/>
    </row>
    <row r="1098" spans="2:8">
      <c r="B1098" s="183" t="s">
        <v>1408</v>
      </c>
      <c r="C1098" s="198"/>
      <c r="D1098" s="332" t="s">
        <v>1377</v>
      </c>
      <c r="E1098" s="198" t="s">
        <v>99</v>
      </c>
      <c r="F1098" s="281">
        <v>1</v>
      </c>
      <c r="G1098" s="229"/>
      <c r="H1098" s="235"/>
    </row>
    <row r="1099" spans="2:8" ht="15">
      <c r="B1099" s="186" t="s">
        <v>1409</v>
      </c>
      <c r="C1099" s="312"/>
      <c r="D1099" s="313" t="s">
        <v>1410</v>
      </c>
      <c r="E1099" s="314"/>
      <c r="F1099" s="283"/>
      <c r="G1099" s="233"/>
      <c r="H1099" s="234"/>
    </row>
    <row r="1100" spans="2:8">
      <c r="B1100" s="183" t="s">
        <v>1411</v>
      </c>
      <c r="C1100" s="198"/>
      <c r="D1100" s="332" t="s">
        <v>1364</v>
      </c>
      <c r="E1100" s="198" t="s">
        <v>99</v>
      </c>
      <c r="F1100" s="281">
        <v>7</v>
      </c>
      <c r="G1100" s="229"/>
      <c r="H1100" s="235"/>
    </row>
    <row r="1101" spans="2:8">
      <c r="B1101" s="183" t="s">
        <v>1412</v>
      </c>
      <c r="C1101" s="198"/>
      <c r="D1101" s="332" t="s">
        <v>1374</v>
      </c>
      <c r="E1101" s="198" t="s">
        <v>99</v>
      </c>
      <c r="F1101" s="287">
        <v>6</v>
      </c>
      <c r="G1101" s="229"/>
      <c r="H1101" s="235"/>
    </row>
    <row r="1102" spans="2:8">
      <c r="B1102" s="183" t="s">
        <v>1413</v>
      </c>
      <c r="C1102" s="198"/>
      <c r="D1102" s="332" t="s">
        <v>1366</v>
      </c>
      <c r="E1102" s="198" t="s">
        <v>99</v>
      </c>
      <c r="F1102" s="281">
        <v>2</v>
      </c>
      <c r="G1102" s="229"/>
      <c r="H1102" s="235"/>
    </row>
    <row r="1103" spans="2:8">
      <c r="B1103" s="183" t="s">
        <v>1414</v>
      </c>
      <c r="C1103" s="198"/>
      <c r="D1103" s="332" t="s">
        <v>1377</v>
      </c>
      <c r="E1103" s="198" t="s">
        <v>99</v>
      </c>
      <c r="F1103" s="281">
        <v>1</v>
      </c>
      <c r="G1103" s="229"/>
      <c r="H1103" s="235"/>
    </row>
    <row r="1104" spans="2:8" ht="15">
      <c r="B1104" s="186" t="s">
        <v>1415</v>
      </c>
      <c r="C1104" s="312"/>
      <c r="D1104" s="313" t="s">
        <v>1416</v>
      </c>
      <c r="E1104" s="314"/>
      <c r="F1104" s="283"/>
      <c r="G1104" s="233"/>
      <c r="H1104" s="234"/>
    </row>
    <row r="1105" spans="2:8">
      <c r="B1105" s="183" t="s">
        <v>1417</v>
      </c>
      <c r="C1105" s="198"/>
      <c r="D1105" s="332" t="s">
        <v>1362</v>
      </c>
      <c r="E1105" s="198" t="s">
        <v>99</v>
      </c>
      <c r="F1105" s="287">
        <v>1</v>
      </c>
      <c r="G1105" s="229"/>
      <c r="H1105" s="235"/>
    </row>
    <row r="1106" spans="2:8">
      <c r="B1106" s="183" t="s">
        <v>1418</v>
      </c>
      <c r="C1106" s="198"/>
      <c r="D1106" s="332" t="s">
        <v>1364</v>
      </c>
      <c r="E1106" s="198" t="s">
        <v>99</v>
      </c>
      <c r="F1106" s="281">
        <v>11</v>
      </c>
      <c r="G1106" s="229"/>
      <c r="H1106" s="235"/>
    </row>
    <row r="1107" spans="2:8">
      <c r="B1107" s="183" t="s">
        <v>1419</v>
      </c>
      <c r="C1107" s="198"/>
      <c r="D1107" s="332" t="s">
        <v>1374</v>
      </c>
      <c r="E1107" s="198" t="s">
        <v>99</v>
      </c>
      <c r="F1107" s="281">
        <v>3</v>
      </c>
      <c r="G1107" s="229"/>
      <c r="H1107" s="235"/>
    </row>
    <row r="1108" spans="2:8">
      <c r="B1108" s="183" t="s">
        <v>1420</v>
      </c>
      <c r="C1108" s="198"/>
      <c r="D1108" s="332" t="s">
        <v>1366</v>
      </c>
      <c r="E1108" s="198" t="s">
        <v>99</v>
      </c>
      <c r="F1108" s="281">
        <v>2</v>
      </c>
      <c r="G1108" s="229"/>
      <c r="H1108" s="235"/>
    </row>
    <row r="1109" spans="2:8" ht="15">
      <c r="B1109" s="186" t="s">
        <v>1421</v>
      </c>
      <c r="C1109" s="312"/>
      <c r="D1109" s="313" t="s">
        <v>1422</v>
      </c>
      <c r="E1109" s="314"/>
      <c r="F1109" s="283"/>
      <c r="G1109" s="233"/>
      <c r="H1109" s="234"/>
    </row>
    <row r="1110" spans="2:8">
      <c r="B1110" s="183" t="s">
        <v>1423</v>
      </c>
      <c r="C1110" s="198"/>
      <c r="D1110" s="332" t="s">
        <v>1364</v>
      </c>
      <c r="E1110" s="198" t="s">
        <v>99</v>
      </c>
      <c r="F1110" s="281">
        <v>3</v>
      </c>
      <c r="G1110" s="229"/>
      <c r="H1110" s="235"/>
    </row>
    <row r="1111" spans="2:8">
      <c r="B1111" s="183" t="s">
        <v>1424</v>
      </c>
      <c r="C1111" s="198"/>
      <c r="D1111" s="332" t="s">
        <v>1374</v>
      </c>
      <c r="E1111" s="198" t="s">
        <v>99</v>
      </c>
      <c r="F1111" s="281">
        <v>3</v>
      </c>
      <c r="G1111" s="229"/>
      <c r="H1111" s="235"/>
    </row>
    <row r="1112" spans="2:8">
      <c r="B1112" s="183" t="s">
        <v>1425</v>
      </c>
      <c r="C1112" s="198"/>
      <c r="D1112" s="332" t="s">
        <v>1366</v>
      </c>
      <c r="E1112" s="198" t="s">
        <v>99</v>
      </c>
      <c r="F1112" s="281">
        <v>2</v>
      </c>
      <c r="G1112" s="229"/>
      <c r="H1112" s="235"/>
    </row>
    <row r="1113" spans="2:8" ht="26.25" thickBot="1">
      <c r="B1113" s="183" t="s">
        <v>1426</v>
      </c>
      <c r="C1113" s="198"/>
      <c r="D1113" s="332" t="s">
        <v>1427</v>
      </c>
      <c r="E1113" s="198" t="s">
        <v>99</v>
      </c>
      <c r="F1113" s="287">
        <v>2</v>
      </c>
      <c r="G1113" s="229"/>
      <c r="H1113" s="235"/>
    </row>
    <row r="1114" spans="2:8" ht="16.5" thickBot="1">
      <c r="B1114" s="479" t="s">
        <v>1428</v>
      </c>
      <c r="C1114" s="480" t="s">
        <v>1429</v>
      </c>
      <c r="D1114" s="481" t="s">
        <v>1430</v>
      </c>
      <c r="E1114" s="482"/>
      <c r="F1114" s="483"/>
      <c r="G1114" s="493"/>
      <c r="H1114" s="280"/>
    </row>
    <row r="1115" spans="2:8" ht="15">
      <c r="B1115" s="486" t="s">
        <v>1431</v>
      </c>
      <c r="C1115" s="487"/>
      <c r="D1115" s="488" t="s">
        <v>1360</v>
      </c>
      <c r="E1115" s="489"/>
      <c r="F1115" s="490"/>
      <c r="G1115" s="491"/>
      <c r="H1115" s="492"/>
    </row>
    <row r="1116" spans="2:8" ht="25.5">
      <c r="B1116" s="129" t="s">
        <v>1432</v>
      </c>
      <c r="C1116" s="198"/>
      <c r="D1116" s="332" t="s">
        <v>1433</v>
      </c>
      <c r="E1116" s="198" t="s">
        <v>99</v>
      </c>
      <c r="F1116" s="281">
        <v>3</v>
      </c>
      <c r="G1116" s="229"/>
      <c r="H1116" s="235"/>
    </row>
    <row r="1117" spans="2:8" ht="25.5">
      <c r="B1117" s="129" t="s">
        <v>1434</v>
      </c>
      <c r="C1117" s="198"/>
      <c r="D1117" s="332" t="s">
        <v>1435</v>
      </c>
      <c r="E1117" s="198" t="s">
        <v>99</v>
      </c>
      <c r="F1117" s="281">
        <v>3</v>
      </c>
      <c r="G1117" s="229"/>
      <c r="H1117" s="235"/>
    </row>
    <row r="1118" spans="2:8" ht="25.5">
      <c r="B1118" s="129" t="s">
        <v>1436</v>
      </c>
      <c r="C1118" s="198"/>
      <c r="D1118" s="332" t="s">
        <v>1437</v>
      </c>
      <c r="E1118" s="198" t="s">
        <v>99</v>
      </c>
      <c r="F1118" s="281">
        <v>1</v>
      </c>
      <c r="G1118" s="229"/>
      <c r="H1118" s="235"/>
    </row>
    <row r="1119" spans="2:8" ht="25.5">
      <c r="B1119" s="129" t="s">
        <v>1438</v>
      </c>
      <c r="C1119" s="198"/>
      <c r="D1119" s="332" t="s">
        <v>1439</v>
      </c>
      <c r="E1119" s="198" t="s">
        <v>99</v>
      </c>
      <c r="F1119" s="281">
        <v>1</v>
      </c>
      <c r="G1119" s="229"/>
      <c r="H1119" s="235"/>
    </row>
    <row r="1120" spans="2:8" ht="25.5">
      <c r="B1120" s="129" t="s">
        <v>1440</v>
      </c>
      <c r="C1120" s="198"/>
      <c r="D1120" s="332" t="s">
        <v>1441</v>
      </c>
      <c r="E1120" s="198" t="s">
        <v>99</v>
      </c>
      <c r="F1120" s="281">
        <v>1</v>
      </c>
      <c r="G1120" s="229"/>
      <c r="H1120" s="235"/>
    </row>
    <row r="1121" spans="2:8">
      <c r="B1121" s="129" t="s">
        <v>1442</v>
      </c>
      <c r="C1121" s="198"/>
      <c r="D1121" s="332" t="s">
        <v>1443</v>
      </c>
      <c r="E1121" s="198" t="s">
        <v>99</v>
      </c>
      <c r="F1121" s="281">
        <v>1</v>
      </c>
      <c r="G1121" s="229"/>
      <c r="H1121" s="235"/>
    </row>
    <row r="1122" spans="2:8" ht="15">
      <c r="B1122" s="186" t="s">
        <v>1444</v>
      </c>
      <c r="C1122" s="312"/>
      <c r="D1122" s="313" t="s">
        <v>1368</v>
      </c>
      <c r="E1122" s="314"/>
      <c r="F1122" s="283"/>
      <c r="G1122" s="233"/>
      <c r="H1122" s="234"/>
    </row>
    <row r="1123" spans="2:8" ht="25.5">
      <c r="B1123" s="129" t="s">
        <v>1445</v>
      </c>
      <c r="C1123" s="198"/>
      <c r="D1123" s="332" t="s">
        <v>1433</v>
      </c>
      <c r="E1123" s="198" t="s">
        <v>99</v>
      </c>
      <c r="F1123" s="281">
        <v>3</v>
      </c>
      <c r="G1123" s="229"/>
      <c r="H1123" s="235"/>
    </row>
    <row r="1124" spans="2:8" ht="25.5">
      <c r="B1124" s="129" t="s">
        <v>1446</v>
      </c>
      <c r="C1124" s="198"/>
      <c r="D1124" s="332" t="s">
        <v>1447</v>
      </c>
      <c r="E1124" s="198" t="s">
        <v>99</v>
      </c>
      <c r="F1124" s="281">
        <v>2</v>
      </c>
      <c r="G1124" s="229"/>
      <c r="H1124" s="235"/>
    </row>
    <row r="1125" spans="2:8" ht="25.5">
      <c r="B1125" s="129" t="s">
        <v>1448</v>
      </c>
      <c r="C1125" s="198"/>
      <c r="D1125" s="332" t="s">
        <v>1449</v>
      </c>
      <c r="E1125" s="198" t="s">
        <v>99</v>
      </c>
      <c r="F1125" s="281">
        <v>2</v>
      </c>
      <c r="G1125" s="229"/>
      <c r="H1125" s="235"/>
    </row>
    <row r="1126" spans="2:8" ht="25.5">
      <c r="B1126" s="129" t="s">
        <v>1450</v>
      </c>
      <c r="C1126" s="198"/>
      <c r="D1126" s="332" t="s">
        <v>1435</v>
      </c>
      <c r="E1126" s="198" t="s">
        <v>99</v>
      </c>
      <c r="F1126" s="281">
        <v>4</v>
      </c>
      <c r="G1126" s="229"/>
      <c r="H1126" s="235"/>
    </row>
    <row r="1127" spans="2:8" ht="25.5">
      <c r="B1127" s="129" t="s">
        <v>1451</v>
      </c>
      <c r="C1127" s="198"/>
      <c r="D1127" s="332" t="s">
        <v>1452</v>
      </c>
      <c r="E1127" s="198" t="s">
        <v>99</v>
      </c>
      <c r="F1127" s="281">
        <v>4</v>
      </c>
      <c r="G1127" s="229"/>
      <c r="H1127" s="235"/>
    </row>
    <row r="1128" spans="2:8" ht="25.5">
      <c r="B1128" s="129" t="s">
        <v>1453</v>
      </c>
      <c r="C1128" s="198"/>
      <c r="D1128" s="332" t="s">
        <v>1454</v>
      </c>
      <c r="E1128" s="198" t="s">
        <v>99</v>
      </c>
      <c r="F1128" s="281">
        <v>4</v>
      </c>
      <c r="G1128" s="229"/>
      <c r="H1128" s="235"/>
    </row>
    <row r="1129" spans="2:8" ht="51">
      <c r="B1129" s="129" t="s">
        <v>1455</v>
      </c>
      <c r="C1129" s="198"/>
      <c r="D1129" s="332" t="s">
        <v>1456</v>
      </c>
      <c r="E1129" s="198" t="s">
        <v>99</v>
      </c>
      <c r="F1129" s="281">
        <v>2</v>
      </c>
      <c r="G1129" s="229"/>
      <c r="H1129" s="235"/>
    </row>
    <row r="1130" spans="2:8" ht="38.25">
      <c r="B1130" s="129" t="s">
        <v>1457</v>
      </c>
      <c r="C1130" s="198"/>
      <c r="D1130" s="332" t="s">
        <v>1458</v>
      </c>
      <c r="E1130" s="198" t="s">
        <v>99</v>
      </c>
      <c r="F1130" s="281">
        <v>1</v>
      </c>
      <c r="G1130" s="229"/>
      <c r="H1130" s="235"/>
    </row>
    <row r="1131" spans="2:8" ht="25.5">
      <c r="B1131" s="129" t="s">
        <v>1459</v>
      </c>
      <c r="C1131" s="198"/>
      <c r="D1131" s="332" t="s">
        <v>1460</v>
      </c>
      <c r="E1131" s="198" t="s">
        <v>99</v>
      </c>
      <c r="F1131" s="281">
        <v>6</v>
      </c>
      <c r="G1131" s="229"/>
      <c r="H1131" s="235"/>
    </row>
    <row r="1132" spans="2:8" ht="38.25">
      <c r="B1132" s="129" t="s">
        <v>1461</v>
      </c>
      <c r="C1132" s="198"/>
      <c r="D1132" s="332" t="s">
        <v>1462</v>
      </c>
      <c r="E1132" s="198" t="s">
        <v>99</v>
      </c>
      <c r="F1132" s="281">
        <v>1</v>
      </c>
      <c r="G1132" s="229"/>
      <c r="H1132" s="235"/>
    </row>
    <row r="1133" spans="2:8" ht="38.25">
      <c r="B1133" s="129" t="s">
        <v>1463</v>
      </c>
      <c r="C1133" s="198"/>
      <c r="D1133" s="332" t="s">
        <v>1464</v>
      </c>
      <c r="E1133" s="198" t="s">
        <v>99</v>
      </c>
      <c r="F1133" s="281">
        <v>1</v>
      </c>
      <c r="G1133" s="229"/>
      <c r="H1133" s="235"/>
    </row>
    <row r="1134" spans="2:8" ht="51">
      <c r="B1134" s="129" t="s">
        <v>1465</v>
      </c>
      <c r="C1134" s="198"/>
      <c r="D1134" s="332" t="s">
        <v>1466</v>
      </c>
      <c r="E1134" s="198" t="s">
        <v>99</v>
      </c>
      <c r="F1134" s="281">
        <v>1</v>
      </c>
      <c r="G1134" s="229"/>
      <c r="H1134" s="235"/>
    </row>
    <row r="1135" spans="2:8" ht="25.5">
      <c r="B1135" s="129" t="s">
        <v>1467</v>
      </c>
      <c r="C1135" s="198"/>
      <c r="D1135" s="332" t="s">
        <v>1468</v>
      </c>
      <c r="E1135" s="198" t="s">
        <v>99</v>
      </c>
      <c r="F1135" s="281">
        <v>1</v>
      </c>
      <c r="G1135" s="229"/>
      <c r="H1135" s="235"/>
    </row>
    <row r="1136" spans="2:8" ht="38.25">
      <c r="B1136" s="129" t="s">
        <v>1469</v>
      </c>
      <c r="C1136" s="198"/>
      <c r="D1136" s="332" t="s">
        <v>1470</v>
      </c>
      <c r="E1136" s="198" t="s">
        <v>99</v>
      </c>
      <c r="F1136" s="281">
        <v>1</v>
      </c>
      <c r="G1136" s="229"/>
      <c r="H1136" s="235"/>
    </row>
    <row r="1137" spans="2:8" ht="38.25">
      <c r="B1137" s="129" t="s">
        <v>1471</v>
      </c>
      <c r="C1137" s="198"/>
      <c r="D1137" s="332" t="s">
        <v>1472</v>
      </c>
      <c r="E1137" s="198" t="s">
        <v>99</v>
      </c>
      <c r="F1137" s="281">
        <v>7</v>
      </c>
      <c r="G1137" s="229"/>
      <c r="H1137" s="235"/>
    </row>
    <row r="1138" spans="2:8" ht="25.5">
      <c r="B1138" s="129" t="s">
        <v>1473</v>
      </c>
      <c r="C1138" s="198"/>
      <c r="D1138" s="332" t="s">
        <v>1474</v>
      </c>
      <c r="E1138" s="198" t="s">
        <v>99</v>
      </c>
      <c r="F1138" s="281">
        <v>1</v>
      </c>
      <c r="G1138" s="229"/>
      <c r="H1138" s="235"/>
    </row>
    <row r="1139" spans="2:8" ht="25.5">
      <c r="B1139" s="129" t="s">
        <v>1475</v>
      </c>
      <c r="C1139" s="198"/>
      <c r="D1139" s="332" t="s">
        <v>1476</v>
      </c>
      <c r="E1139" s="198" t="s">
        <v>99</v>
      </c>
      <c r="F1139" s="281">
        <v>1</v>
      </c>
      <c r="G1139" s="229"/>
      <c r="H1139" s="235"/>
    </row>
    <row r="1140" spans="2:8" ht="25.5">
      <c r="B1140" s="129" t="s">
        <v>1477</v>
      </c>
      <c r="C1140" s="198"/>
      <c r="D1140" s="332" t="s">
        <v>1478</v>
      </c>
      <c r="E1140" s="198" t="s">
        <v>99</v>
      </c>
      <c r="F1140" s="281">
        <v>1</v>
      </c>
      <c r="G1140" s="229"/>
      <c r="H1140" s="235"/>
    </row>
    <row r="1141" spans="2:8" ht="25.5">
      <c r="B1141" s="129" t="s">
        <v>1479</v>
      </c>
      <c r="C1141" s="198"/>
      <c r="D1141" s="332" t="s">
        <v>1480</v>
      </c>
      <c r="E1141" s="198" t="s">
        <v>99</v>
      </c>
      <c r="F1141" s="281">
        <v>1</v>
      </c>
      <c r="G1141" s="229"/>
      <c r="H1141" s="235"/>
    </row>
    <row r="1142" spans="2:8" ht="25.5">
      <c r="B1142" s="129" t="s">
        <v>1481</v>
      </c>
      <c r="C1142" s="198"/>
      <c r="D1142" s="332" t="s">
        <v>1482</v>
      </c>
      <c r="E1142" s="198" t="s">
        <v>99</v>
      </c>
      <c r="F1142" s="281">
        <v>2</v>
      </c>
      <c r="G1142" s="229"/>
      <c r="H1142" s="235"/>
    </row>
    <row r="1143" spans="2:8" ht="25.5">
      <c r="B1143" s="129" t="s">
        <v>1483</v>
      </c>
      <c r="C1143" s="198"/>
      <c r="D1143" s="332" t="s">
        <v>1484</v>
      </c>
      <c r="E1143" s="198" t="s">
        <v>99</v>
      </c>
      <c r="F1143" s="281">
        <v>4</v>
      </c>
      <c r="G1143" s="229"/>
      <c r="H1143" s="235"/>
    </row>
    <row r="1144" spans="2:8" ht="15">
      <c r="B1144" s="186" t="s">
        <v>1485</v>
      </c>
      <c r="C1144" s="312"/>
      <c r="D1144" s="313" t="s">
        <v>1381</v>
      </c>
      <c r="E1144" s="314"/>
      <c r="F1144" s="283"/>
      <c r="G1144" s="233"/>
      <c r="H1144" s="234"/>
    </row>
    <row r="1145" spans="2:8" ht="25.5">
      <c r="B1145" s="129" t="s">
        <v>1486</v>
      </c>
      <c r="C1145" s="198"/>
      <c r="D1145" s="332" t="s">
        <v>1433</v>
      </c>
      <c r="E1145" s="198" t="s">
        <v>99</v>
      </c>
      <c r="F1145" s="281">
        <v>2</v>
      </c>
      <c r="G1145" s="229"/>
      <c r="H1145" s="235"/>
    </row>
    <row r="1146" spans="2:8" ht="25.5">
      <c r="B1146" s="129" t="s">
        <v>1487</v>
      </c>
      <c r="C1146" s="198"/>
      <c r="D1146" s="332" t="s">
        <v>1488</v>
      </c>
      <c r="E1146" s="198" t="s">
        <v>99</v>
      </c>
      <c r="F1146" s="281">
        <v>1</v>
      </c>
      <c r="G1146" s="229"/>
      <c r="H1146" s="235"/>
    </row>
    <row r="1147" spans="2:8" ht="25.5">
      <c r="B1147" s="129" t="s">
        <v>1489</v>
      </c>
      <c r="C1147" s="198"/>
      <c r="D1147" s="332" t="s">
        <v>1449</v>
      </c>
      <c r="E1147" s="198" t="s">
        <v>99</v>
      </c>
      <c r="F1147" s="281">
        <v>5</v>
      </c>
      <c r="G1147" s="229"/>
      <c r="H1147" s="235"/>
    </row>
    <row r="1148" spans="2:8" ht="25.5">
      <c r="B1148" s="129" t="s">
        <v>1490</v>
      </c>
      <c r="C1148" s="198"/>
      <c r="D1148" s="332" t="s">
        <v>1435</v>
      </c>
      <c r="E1148" s="198" t="s">
        <v>99</v>
      </c>
      <c r="F1148" s="281">
        <v>4</v>
      </c>
      <c r="G1148" s="229"/>
      <c r="H1148" s="235"/>
    </row>
    <row r="1149" spans="2:8" ht="38.25">
      <c r="B1149" s="129" t="s">
        <v>1491</v>
      </c>
      <c r="C1149" s="198"/>
      <c r="D1149" s="332" t="s">
        <v>1492</v>
      </c>
      <c r="E1149" s="198" t="s">
        <v>99</v>
      </c>
      <c r="F1149" s="281">
        <v>1</v>
      </c>
      <c r="G1149" s="229"/>
      <c r="H1149" s="235"/>
    </row>
    <row r="1150" spans="2:8" ht="25.5">
      <c r="B1150" s="129" t="s">
        <v>1493</v>
      </c>
      <c r="C1150" s="198"/>
      <c r="D1150" s="332" t="s">
        <v>1494</v>
      </c>
      <c r="E1150" s="198" t="s">
        <v>99</v>
      </c>
      <c r="F1150" s="281">
        <v>1</v>
      </c>
      <c r="G1150" s="229"/>
      <c r="H1150" s="235"/>
    </row>
    <row r="1151" spans="2:8" ht="38.25">
      <c r="B1151" s="129" t="s">
        <v>1495</v>
      </c>
      <c r="C1151" s="198"/>
      <c r="D1151" s="332" t="s">
        <v>1496</v>
      </c>
      <c r="E1151" s="198" t="s">
        <v>99</v>
      </c>
      <c r="F1151" s="281">
        <v>1</v>
      </c>
      <c r="G1151" s="229"/>
      <c r="H1151" s="230"/>
    </row>
    <row r="1152" spans="2:8" ht="25.5">
      <c r="B1152" s="129" t="s">
        <v>1497</v>
      </c>
      <c r="C1152" s="198"/>
      <c r="D1152" s="332" t="s">
        <v>1498</v>
      </c>
      <c r="E1152" s="198" t="s">
        <v>99</v>
      </c>
      <c r="F1152" s="281">
        <v>1</v>
      </c>
      <c r="G1152" s="229"/>
      <c r="H1152" s="230"/>
    </row>
    <row r="1153" spans="2:8" ht="25.5">
      <c r="B1153" s="129" t="s">
        <v>1499</v>
      </c>
      <c r="C1153" s="198"/>
      <c r="D1153" s="332" t="s">
        <v>1500</v>
      </c>
      <c r="E1153" s="198" t="s">
        <v>99</v>
      </c>
      <c r="F1153" s="281">
        <v>1</v>
      </c>
      <c r="G1153" s="229"/>
      <c r="H1153" s="230"/>
    </row>
    <row r="1154" spans="2:8" ht="25.5">
      <c r="B1154" s="129" t="s">
        <v>1501</v>
      </c>
      <c r="C1154" s="198"/>
      <c r="D1154" s="332" t="s">
        <v>1502</v>
      </c>
      <c r="E1154" s="198" t="s">
        <v>99</v>
      </c>
      <c r="F1154" s="281">
        <v>1</v>
      </c>
      <c r="G1154" s="229"/>
      <c r="H1154" s="230"/>
    </row>
    <row r="1155" spans="2:8" ht="25.5">
      <c r="B1155" s="129" t="s">
        <v>1503</v>
      </c>
      <c r="C1155" s="198"/>
      <c r="D1155" s="332" t="s">
        <v>1504</v>
      </c>
      <c r="E1155" s="198" t="s">
        <v>99</v>
      </c>
      <c r="F1155" s="281">
        <v>1</v>
      </c>
      <c r="G1155" s="229"/>
      <c r="H1155" s="230"/>
    </row>
    <row r="1156" spans="2:8">
      <c r="B1156" s="129" t="s">
        <v>1505</v>
      </c>
      <c r="C1156" s="198"/>
      <c r="D1156" s="332" t="s">
        <v>1506</v>
      </c>
      <c r="E1156" s="198" t="s">
        <v>99</v>
      </c>
      <c r="F1156" s="281">
        <v>2</v>
      </c>
      <c r="G1156" s="229"/>
      <c r="H1156" s="230"/>
    </row>
    <row r="1157" spans="2:8" ht="15">
      <c r="B1157" s="186" t="s">
        <v>1507</v>
      </c>
      <c r="C1157" s="312"/>
      <c r="D1157" s="313" t="s">
        <v>1393</v>
      </c>
      <c r="E1157" s="314"/>
      <c r="F1157" s="283"/>
      <c r="G1157" s="233"/>
      <c r="H1157" s="234"/>
    </row>
    <row r="1158" spans="2:8" ht="25.5">
      <c r="B1158" s="129" t="s">
        <v>1508</v>
      </c>
      <c r="C1158" s="198"/>
      <c r="D1158" s="332" t="s">
        <v>1449</v>
      </c>
      <c r="E1158" s="198" t="s">
        <v>99</v>
      </c>
      <c r="F1158" s="281">
        <v>4</v>
      </c>
      <c r="G1158" s="229"/>
      <c r="H1158" s="230"/>
    </row>
    <row r="1159" spans="2:8" ht="25.5">
      <c r="B1159" s="129" t="s">
        <v>1509</v>
      </c>
      <c r="C1159" s="198"/>
      <c r="D1159" s="332" t="s">
        <v>1435</v>
      </c>
      <c r="E1159" s="198" t="s">
        <v>99</v>
      </c>
      <c r="F1159" s="281">
        <v>2</v>
      </c>
      <c r="G1159" s="229"/>
      <c r="H1159" s="230"/>
    </row>
    <row r="1160" spans="2:8" ht="15">
      <c r="B1160" s="186" t="s">
        <v>1510</v>
      </c>
      <c r="C1160" s="312"/>
      <c r="D1160" s="313" t="s">
        <v>1511</v>
      </c>
      <c r="E1160" s="314"/>
      <c r="F1160" s="283"/>
      <c r="G1160" s="233"/>
      <c r="H1160" s="234"/>
    </row>
    <row r="1161" spans="2:8" ht="25.5">
      <c r="B1161" s="183" t="s">
        <v>1512</v>
      </c>
      <c r="C1161" s="198"/>
      <c r="D1161" s="332" t="s">
        <v>1488</v>
      </c>
      <c r="E1161" s="198" t="s">
        <v>99</v>
      </c>
      <c r="F1161" s="281">
        <v>1</v>
      </c>
      <c r="G1161" s="229"/>
      <c r="H1161" s="230"/>
    </row>
    <row r="1162" spans="2:8" ht="25.5">
      <c r="B1162" s="183" t="s">
        <v>1513</v>
      </c>
      <c r="C1162" s="198"/>
      <c r="D1162" s="332" t="s">
        <v>1449</v>
      </c>
      <c r="E1162" s="198" t="s">
        <v>99</v>
      </c>
      <c r="F1162" s="281">
        <v>4</v>
      </c>
      <c r="G1162" s="229"/>
      <c r="H1162" s="230"/>
    </row>
    <row r="1163" spans="2:8" ht="25.5">
      <c r="B1163" s="183" t="s">
        <v>1514</v>
      </c>
      <c r="C1163" s="198"/>
      <c r="D1163" s="332" t="s">
        <v>1435</v>
      </c>
      <c r="E1163" s="198" t="s">
        <v>99</v>
      </c>
      <c r="F1163" s="281">
        <v>2</v>
      </c>
      <c r="G1163" s="229"/>
      <c r="H1163" s="230"/>
    </row>
    <row r="1164" spans="2:8" ht="15">
      <c r="B1164" s="186" t="s">
        <v>1515</v>
      </c>
      <c r="C1164" s="312"/>
      <c r="D1164" s="313" t="s">
        <v>1404</v>
      </c>
      <c r="E1164" s="314"/>
      <c r="F1164" s="283"/>
      <c r="G1164" s="233"/>
      <c r="H1164" s="234"/>
    </row>
    <row r="1165" spans="2:8" ht="25.5">
      <c r="B1165" s="183" t="s">
        <v>1516</v>
      </c>
      <c r="C1165" s="198"/>
      <c r="D1165" s="332" t="s">
        <v>1488</v>
      </c>
      <c r="E1165" s="198" t="s">
        <v>99</v>
      </c>
      <c r="F1165" s="281">
        <v>1</v>
      </c>
      <c r="G1165" s="229"/>
      <c r="H1165" s="230"/>
    </row>
    <row r="1166" spans="2:8" ht="25.5">
      <c r="B1166" s="183" t="s">
        <v>1517</v>
      </c>
      <c r="C1166" s="198"/>
      <c r="D1166" s="332" t="s">
        <v>1449</v>
      </c>
      <c r="E1166" s="198" t="s">
        <v>99</v>
      </c>
      <c r="F1166" s="281">
        <v>4</v>
      </c>
      <c r="G1166" s="243"/>
      <c r="H1166" s="242"/>
    </row>
    <row r="1167" spans="2:8" ht="25.5">
      <c r="B1167" s="183" t="s">
        <v>1518</v>
      </c>
      <c r="C1167" s="198"/>
      <c r="D1167" s="332" t="s">
        <v>1435</v>
      </c>
      <c r="E1167" s="198" t="s">
        <v>99</v>
      </c>
      <c r="F1167" s="281">
        <v>2</v>
      </c>
      <c r="G1167" s="229"/>
      <c r="H1167" s="230"/>
    </row>
    <row r="1168" spans="2:8" ht="15">
      <c r="B1168" s="186" t="s">
        <v>1519</v>
      </c>
      <c r="C1168" s="312"/>
      <c r="D1168" s="313" t="s">
        <v>1410</v>
      </c>
      <c r="E1168" s="314"/>
      <c r="F1168" s="283"/>
      <c r="G1168" s="233"/>
      <c r="H1168" s="234"/>
    </row>
    <row r="1169" spans="2:8" ht="25.5">
      <c r="B1169" s="183" t="s">
        <v>1520</v>
      </c>
      <c r="C1169" s="198"/>
      <c r="D1169" s="332" t="s">
        <v>1488</v>
      </c>
      <c r="E1169" s="198" t="s">
        <v>99</v>
      </c>
      <c r="F1169" s="281">
        <v>1</v>
      </c>
      <c r="G1169" s="229"/>
      <c r="H1169" s="230"/>
    </row>
    <row r="1170" spans="2:8" ht="25.5">
      <c r="B1170" s="183" t="s">
        <v>1521</v>
      </c>
      <c r="C1170" s="198"/>
      <c r="D1170" s="332" t="s">
        <v>1449</v>
      </c>
      <c r="E1170" s="198" t="s">
        <v>99</v>
      </c>
      <c r="F1170" s="281">
        <v>2</v>
      </c>
      <c r="G1170" s="229"/>
      <c r="H1170" s="230"/>
    </row>
    <row r="1171" spans="2:8" ht="25.5">
      <c r="B1171" s="183" t="s">
        <v>1522</v>
      </c>
      <c r="C1171" s="198"/>
      <c r="D1171" s="332" t="s">
        <v>1435</v>
      </c>
      <c r="E1171" s="198" t="s">
        <v>99</v>
      </c>
      <c r="F1171" s="281">
        <v>2</v>
      </c>
      <c r="G1171" s="229"/>
      <c r="H1171" s="230"/>
    </row>
    <row r="1172" spans="2:8" ht="25.5">
      <c r="B1172" s="183" t="s">
        <v>1523</v>
      </c>
      <c r="C1172" s="198"/>
      <c r="D1172" s="332" t="s">
        <v>1437</v>
      </c>
      <c r="E1172" s="198" t="s">
        <v>99</v>
      </c>
      <c r="F1172" s="281">
        <v>1</v>
      </c>
      <c r="G1172" s="229"/>
      <c r="H1172" s="230"/>
    </row>
    <row r="1173" spans="2:8" ht="15">
      <c r="B1173" s="186" t="s">
        <v>1524</v>
      </c>
      <c r="C1173" s="312"/>
      <c r="D1173" s="313" t="s">
        <v>1416</v>
      </c>
      <c r="E1173" s="314"/>
      <c r="F1173" s="283"/>
      <c r="G1173" s="233"/>
      <c r="H1173" s="234"/>
    </row>
    <row r="1174" spans="2:8" ht="25.5">
      <c r="B1174" s="183" t="s">
        <v>1525</v>
      </c>
      <c r="C1174" s="198"/>
      <c r="D1174" s="332" t="s">
        <v>1449</v>
      </c>
      <c r="E1174" s="198" t="s">
        <v>99</v>
      </c>
      <c r="F1174" s="281">
        <v>2</v>
      </c>
      <c r="G1174" s="229"/>
      <c r="H1174" s="230"/>
    </row>
    <row r="1175" spans="2:8" ht="25.5">
      <c r="B1175" s="183" t="s">
        <v>1526</v>
      </c>
      <c r="C1175" s="198"/>
      <c r="D1175" s="332" t="s">
        <v>1435</v>
      </c>
      <c r="E1175" s="198" t="s">
        <v>99</v>
      </c>
      <c r="F1175" s="281">
        <v>2</v>
      </c>
      <c r="G1175" s="229"/>
      <c r="H1175" s="230"/>
    </row>
    <row r="1176" spans="2:8" ht="15">
      <c r="B1176" s="186" t="s">
        <v>1527</v>
      </c>
      <c r="C1176" s="312"/>
      <c r="D1176" s="313" t="s">
        <v>1528</v>
      </c>
      <c r="E1176" s="314"/>
      <c r="F1176" s="283"/>
      <c r="G1176" s="233"/>
      <c r="H1176" s="234"/>
    </row>
    <row r="1177" spans="2:8">
      <c r="B1177" s="183" t="s">
        <v>1529</v>
      </c>
      <c r="C1177" s="198"/>
      <c r="D1177" s="332" t="s">
        <v>1530</v>
      </c>
      <c r="E1177" s="198" t="s">
        <v>99</v>
      </c>
      <c r="F1177" s="281">
        <v>1</v>
      </c>
      <c r="G1177" s="229"/>
      <c r="H1177" s="230"/>
    </row>
    <row r="1178" spans="2:8" ht="26.25" thickBot="1">
      <c r="B1178" s="183" t="s">
        <v>1531</v>
      </c>
      <c r="C1178" s="198"/>
      <c r="D1178" s="332" t="s">
        <v>1488</v>
      </c>
      <c r="E1178" s="198" t="s">
        <v>99</v>
      </c>
      <c r="F1178" s="281">
        <v>2</v>
      </c>
      <c r="G1178" s="229"/>
      <c r="H1178" s="230"/>
    </row>
    <row r="1179" spans="2:8" ht="16.5" thickBot="1">
      <c r="B1179" s="479" t="s">
        <v>1532</v>
      </c>
      <c r="C1179" s="480" t="s">
        <v>1533</v>
      </c>
      <c r="D1179" s="481" t="s">
        <v>1534</v>
      </c>
      <c r="E1179" s="482"/>
      <c r="F1179" s="483"/>
      <c r="G1179" s="493"/>
      <c r="H1179" s="280"/>
    </row>
    <row r="1180" spans="2:8" ht="15">
      <c r="B1180" s="498" t="s">
        <v>1535</v>
      </c>
      <c r="C1180" s="499"/>
      <c r="D1180" s="500" t="s">
        <v>1536</v>
      </c>
      <c r="E1180" s="501"/>
      <c r="F1180" s="502"/>
      <c r="G1180" s="503"/>
      <c r="H1180" s="504"/>
    </row>
    <row r="1181" spans="2:8" ht="51">
      <c r="B1181" s="129" t="s">
        <v>1537</v>
      </c>
      <c r="C1181" s="198"/>
      <c r="D1181" s="332" t="s">
        <v>1538</v>
      </c>
      <c r="E1181" s="198" t="s">
        <v>309</v>
      </c>
      <c r="F1181" s="281">
        <v>1</v>
      </c>
      <c r="G1181" s="229"/>
      <c r="H1181" s="230"/>
    </row>
    <row r="1182" spans="2:8" ht="51">
      <c r="B1182" s="129" t="s">
        <v>1539</v>
      </c>
      <c r="C1182" s="198"/>
      <c r="D1182" s="332" t="s">
        <v>1540</v>
      </c>
      <c r="E1182" s="198" t="s">
        <v>309</v>
      </c>
      <c r="F1182" s="281">
        <v>1</v>
      </c>
      <c r="G1182" s="229"/>
      <c r="H1182" s="230"/>
    </row>
    <row r="1183" spans="2:8" ht="51">
      <c r="B1183" s="129" t="s">
        <v>1541</v>
      </c>
      <c r="C1183" s="198"/>
      <c r="D1183" s="332" t="s">
        <v>1542</v>
      </c>
      <c r="E1183" s="198" t="s">
        <v>309</v>
      </c>
      <c r="F1183" s="281">
        <v>1</v>
      </c>
      <c r="G1183" s="229"/>
      <c r="H1183" s="230"/>
    </row>
    <row r="1184" spans="2:8" ht="51">
      <c r="B1184" s="129" t="s">
        <v>1543</v>
      </c>
      <c r="C1184" s="198"/>
      <c r="D1184" s="332" t="s">
        <v>1544</v>
      </c>
      <c r="E1184" s="198" t="s">
        <v>309</v>
      </c>
      <c r="F1184" s="281">
        <v>1</v>
      </c>
      <c r="G1184" s="229"/>
      <c r="H1184" s="230"/>
    </row>
    <row r="1185" spans="2:8" ht="15">
      <c r="B1185" s="209" t="s">
        <v>1545</v>
      </c>
      <c r="C1185" s="363"/>
      <c r="D1185" s="364" t="s">
        <v>1546</v>
      </c>
      <c r="E1185" s="365"/>
      <c r="F1185" s="302"/>
      <c r="G1185" s="271"/>
      <c r="H1185" s="272"/>
    </row>
    <row r="1186" spans="2:8" ht="51">
      <c r="B1186" s="129" t="s">
        <v>1547</v>
      </c>
      <c r="C1186" s="198"/>
      <c r="D1186" s="332" t="s">
        <v>1548</v>
      </c>
      <c r="E1186" s="198" t="s">
        <v>99</v>
      </c>
      <c r="F1186" s="281">
        <v>1</v>
      </c>
      <c r="G1186" s="229"/>
      <c r="H1186" s="230"/>
    </row>
    <row r="1187" spans="2:8" ht="63.75">
      <c r="B1187" s="129" t="s">
        <v>1549</v>
      </c>
      <c r="C1187" s="198"/>
      <c r="D1187" s="332" t="s">
        <v>1550</v>
      </c>
      <c r="E1187" s="198" t="s">
        <v>99</v>
      </c>
      <c r="F1187" s="281">
        <v>1</v>
      </c>
      <c r="G1187" s="229"/>
      <c r="H1187" s="230"/>
    </row>
    <row r="1188" spans="2:8" ht="51">
      <c r="B1188" s="129" t="s">
        <v>1551</v>
      </c>
      <c r="C1188" s="198"/>
      <c r="D1188" s="332" t="s">
        <v>1552</v>
      </c>
      <c r="E1188" s="198" t="s">
        <v>99</v>
      </c>
      <c r="F1188" s="281">
        <v>1</v>
      </c>
      <c r="G1188" s="229"/>
      <c r="H1188" s="230"/>
    </row>
    <row r="1189" spans="2:8" ht="51">
      <c r="B1189" s="129" t="s">
        <v>1553</v>
      </c>
      <c r="C1189" s="198"/>
      <c r="D1189" s="332" t="s">
        <v>1554</v>
      </c>
      <c r="E1189" s="198" t="s">
        <v>99</v>
      </c>
      <c r="F1189" s="281">
        <v>19</v>
      </c>
      <c r="G1189" s="229"/>
      <c r="H1189" s="230"/>
    </row>
    <row r="1190" spans="2:8" ht="51.75" thickBot="1">
      <c r="B1190" s="129" t="s">
        <v>1555</v>
      </c>
      <c r="C1190" s="198"/>
      <c r="D1190" s="335" t="s">
        <v>1556</v>
      </c>
      <c r="E1190" s="198" t="s">
        <v>99</v>
      </c>
      <c r="F1190" s="281">
        <v>14</v>
      </c>
      <c r="G1190" s="229"/>
      <c r="H1190" s="230"/>
    </row>
    <row r="1191" spans="2:8" ht="16.5" thickBot="1">
      <c r="B1191" s="479" t="s">
        <v>1557</v>
      </c>
      <c r="C1191" s="480" t="s">
        <v>1558</v>
      </c>
      <c r="D1191" s="481" t="s">
        <v>1559</v>
      </c>
      <c r="E1191" s="482"/>
      <c r="F1191" s="483"/>
      <c r="G1191" s="493"/>
      <c r="H1191" s="280"/>
    </row>
    <row r="1192" spans="2:8" ht="15">
      <c r="B1192" s="486" t="s">
        <v>1560</v>
      </c>
      <c r="C1192" s="487"/>
      <c r="D1192" s="488" t="s">
        <v>133</v>
      </c>
      <c r="E1192" s="489"/>
      <c r="F1192" s="490"/>
      <c r="G1192" s="491"/>
      <c r="H1192" s="492"/>
    </row>
    <row r="1193" spans="2:8">
      <c r="B1193" s="129" t="s">
        <v>1561</v>
      </c>
      <c r="C1193" s="198" t="s">
        <v>1562</v>
      </c>
      <c r="D1193" s="310" t="s">
        <v>1563</v>
      </c>
      <c r="E1193" s="198" t="s">
        <v>55</v>
      </c>
      <c r="F1193" s="293">
        <v>6.48</v>
      </c>
      <c r="G1193" s="229"/>
      <c r="H1193" s="235"/>
    </row>
    <row r="1194" spans="2:8" ht="25.5">
      <c r="B1194" s="129" t="s">
        <v>1564</v>
      </c>
      <c r="C1194" s="351"/>
      <c r="D1194" s="310" t="s">
        <v>1565</v>
      </c>
      <c r="E1194" s="198" t="s">
        <v>1566</v>
      </c>
      <c r="F1194" s="293">
        <v>4</v>
      </c>
      <c r="G1194" s="229"/>
      <c r="H1194" s="235"/>
    </row>
    <row r="1195" spans="2:8" ht="25.5">
      <c r="B1195" s="129" t="s">
        <v>1567</v>
      </c>
      <c r="C1195" s="351"/>
      <c r="D1195" s="310" t="s">
        <v>1568</v>
      </c>
      <c r="E1195" s="198" t="s">
        <v>55</v>
      </c>
      <c r="F1195" s="293">
        <v>8</v>
      </c>
      <c r="G1195" s="229"/>
      <c r="H1195" s="235"/>
    </row>
    <row r="1196" spans="2:8" ht="15">
      <c r="B1196" s="186" t="s">
        <v>1569</v>
      </c>
      <c r="C1196" s="360"/>
      <c r="D1196" s="313" t="s">
        <v>222</v>
      </c>
      <c r="E1196" s="314"/>
      <c r="F1196" s="283"/>
      <c r="G1196" s="233"/>
      <c r="H1196" s="234"/>
    </row>
    <row r="1197" spans="2:8">
      <c r="B1197" s="129" t="s">
        <v>1570</v>
      </c>
      <c r="C1197" s="351"/>
      <c r="D1197" s="315" t="s">
        <v>224</v>
      </c>
      <c r="E1197" s="195"/>
      <c r="F1197" s="281"/>
      <c r="G1197" s="229"/>
      <c r="H1197" s="235"/>
    </row>
    <row r="1198" spans="2:8">
      <c r="B1198" s="129" t="s">
        <v>1571</v>
      </c>
      <c r="C1198" s="198" t="s">
        <v>1562</v>
      </c>
      <c r="D1198" s="310" t="s">
        <v>1563</v>
      </c>
      <c r="E1198" s="198" t="s">
        <v>55</v>
      </c>
      <c r="F1198" s="293">
        <v>450.36</v>
      </c>
      <c r="G1198" s="229"/>
      <c r="H1198" s="235"/>
    </row>
    <row r="1199" spans="2:8">
      <c r="B1199" s="129" t="s">
        <v>1572</v>
      </c>
      <c r="C1199" s="198" t="s">
        <v>1562</v>
      </c>
      <c r="D1199" s="310" t="s">
        <v>1573</v>
      </c>
      <c r="E1199" s="198" t="s">
        <v>55</v>
      </c>
      <c r="F1199" s="293">
        <v>61.56</v>
      </c>
      <c r="G1199" s="229"/>
      <c r="H1199" s="235"/>
    </row>
    <row r="1200" spans="2:8">
      <c r="B1200" s="129" t="s">
        <v>1574</v>
      </c>
      <c r="C1200" s="198" t="s">
        <v>1562</v>
      </c>
      <c r="D1200" s="310" t="s">
        <v>1575</v>
      </c>
      <c r="E1200" s="198" t="s">
        <v>1566</v>
      </c>
      <c r="F1200" s="293">
        <v>3</v>
      </c>
      <c r="G1200" s="229"/>
      <c r="H1200" s="235"/>
    </row>
    <row r="1201" spans="2:8">
      <c r="B1201" s="129" t="s">
        <v>1576</v>
      </c>
      <c r="C1201" s="198" t="s">
        <v>1562</v>
      </c>
      <c r="D1201" s="310" t="s">
        <v>1577</v>
      </c>
      <c r="E1201" s="198" t="s">
        <v>1566</v>
      </c>
      <c r="F1201" s="293">
        <v>15</v>
      </c>
      <c r="G1201" s="229"/>
      <c r="H1201" s="235"/>
    </row>
    <row r="1202" spans="2:8">
      <c r="B1202" s="129" t="s">
        <v>1571</v>
      </c>
      <c r="C1202" s="351"/>
      <c r="D1202" s="315" t="s">
        <v>236</v>
      </c>
      <c r="E1202" s="195"/>
      <c r="F1202" s="293"/>
      <c r="G1202" s="229"/>
      <c r="H1202" s="235"/>
    </row>
    <row r="1203" spans="2:8" ht="25.5">
      <c r="B1203" s="129" t="s">
        <v>1578</v>
      </c>
      <c r="C1203" s="351"/>
      <c r="D1203" s="310" t="s">
        <v>1568</v>
      </c>
      <c r="E1203" s="198" t="s">
        <v>55</v>
      </c>
      <c r="F1203" s="293">
        <v>24</v>
      </c>
      <c r="G1203" s="229"/>
      <c r="H1203" s="235"/>
    </row>
    <row r="1204" spans="2:8" ht="25.5">
      <c r="B1204" s="129" t="s">
        <v>1579</v>
      </c>
      <c r="C1204" s="351"/>
      <c r="D1204" s="310" t="s">
        <v>1565</v>
      </c>
      <c r="E1204" s="198" t="s">
        <v>1566</v>
      </c>
      <c r="F1204" s="293">
        <v>10</v>
      </c>
      <c r="G1204" s="229"/>
      <c r="H1204" s="235"/>
    </row>
    <row r="1205" spans="2:8">
      <c r="B1205" s="129" t="s">
        <v>1572</v>
      </c>
      <c r="C1205" s="351"/>
      <c r="D1205" s="315" t="s">
        <v>243</v>
      </c>
      <c r="E1205" s="195"/>
      <c r="F1205" s="293"/>
      <c r="G1205" s="229"/>
      <c r="H1205" s="235"/>
    </row>
    <row r="1206" spans="2:8">
      <c r="B1206" s="129" t="s">
        <v>1580</v>
      </c>
      <c r="C1206" s="198" t="s">
        <v>1562</v>
      </c>
      <c r="D1206" s="310" t="s">
        <v>1581</v>
      </c>
      <c r="E1206" s="198" t="s">
        <v>55</v>
      </c>
      <c r="F1206" s="293">
        <v>16.200000000000003</v>
      </c>
      <c r="G1206" s="229"/>
      <c r="H1206" s="235"/>
    </row>
    <row r="1207" spans="2:8">
      <c r="B1207" s="129" t="s">
        <v>1582</v>
      </c>
      <c r="C1207" s="198" t="s">
        <v>1562</v>
      </c>
      <c r="D1207" s="310" t="s">
        <v>1563</v>
      </c>
      <c r="E1207" s="198" t="s">
        <v>55</v>
      </c>
      <c r="F1207" s="293">
        <v>314.28000000000003</v>
      </c>
      <c r="G1207" s="229"/>
      <c r="H1207" s="235"/>
    </row>
    <row r="1208" spans="2:8">
      <c r="B1208" s="129" t="s">
        <v>1583</v>
      </c>
      <c r="C1208" s="198" t="s">
        <v>1562</v>
      </c>
      <c r="D1208" s="310" t="s">
        <v>1584</v>
      </c>
      <c r="E1208" s="198" t="s">
        <v>55</v>
      </c>
      <c r="F1208" s="293">
        <v>58.320000000000007</v>
      </c>
      <c r="G1208" s="229"/>
      <c r="H1208" s="235"/>
    </row>
    <row r="1209" spans="2:8">
      <c r="B1209" s="129" t="s">
        <v>1585</v>
      </c>
      <c r="C1209" s="198" t="s">
        <v>1562</v>
      </c>
      <c r="D1209" s="310" t="s">
        <v>1575</v>
      </c>
      <c r="E1209" s="198" t="s">
        <v>1566</v>
      </c>
      <c r="F1209" s="293">
        <v>3</v>
      </c>
      <c r="G1209" s="229"/>
      <c r="H1209" s="235"/>
    </row>
    <row r="1210" spans="2:8">
      <c r="B1210" s="129" t="s">
        <v>1586</v>
      </c>
      <c r="C1210" s="198" t="s">
        <v>1562</v>
      </c>
      <c r="D1210" s="310" t="s">
        <v>1577</v>
      </c>
      <c r="E1210" s="198" t="s">
        <v>1566</v>
      </c>
      <c r="F1210" s="293">
        <v>3</v>
      </c>
      <c r="G1210" s="229"/>
      <c r="H1210" s="235"/>
    </row>
    <row r="1211" spans="2:8">
      <c r="B1211" s="129" t="s">
        <v>1574</v>
      </c>
      <c r="C1211" s="351"/>
      <c r="D1211" s="315" t="s">
        <v>112</v>
      </c>
      <c r="E1211" s="198"/>
      <c r="F1211" s="293"/>
      <c r="G1211" s="229"/>
      <c r="H1211" s="235"/>
    </row>
    <row r="1212" spans="2:8" ht="25.5">
      <c r="B1212" s="129" t="s">
        <v>1587</v>
      </c>
      <c r="C1212" s="351"/>
      <c r="D1212" s="310" t="s">
        <v>1568</v>
      </c>
      <c r="E1212" s="198" t="s">
        <v>55</v>
      </c>
      <c r="F1212" s="281">
        <v>16</v>
      </c>
      <c r="G1212" s="229"/>
      <c r="H1212" s="235"/>
    </row>
    <row r="1213" spans="2:8" ht="25.5">
      <c r="B1213" s="129" t="s">
        <v>1588</v>
      </c>
      <c r="C1213" s="351"/>
      <c r="D1213" s="310" t="s">
        <v>1565</v>
      </c>
      <c r="E1213" s="198" t="s">
        <v>1566</v>
      </c>
      <c r="F1213" s="281">
        <v>5</v>
      </c>
      <c r="G1213" s="229"/>
      <c r="H1213" s="235"/>
    </row>
    <row r="1214" spans="2:8" ht="15">
      <c r="B1214" s="186" t="s">
        <v>1589</v>
      </c>
      <c r="C1214" s="360"/>
      <c r="D1214" s="313" t="s">
        <v>224</v>
      </c>
      <c r="E1214" s="314"/>
      <c r="F1214" s="283"/>
      <c r="G1214" s="233"/>
      <c r="H1214" s="234"/>
    </row>
    <row r="1215" spans="2:8">
      <c r="B1215" s="183" t="s">
        <v>1590</v>
      </c>
      <c r="C1215" s="361"/>
      <c r="D1215" s="334" t="s">
        <v>679</v>
      </c>
      <c r="E1215" s="331"/>
      <c r="F1215" s="291"/>
      <c r="G1215" s="243"/>
      <c r="H1215" s="242"/>
    </row>
    <row r="1216" spans="2:8">
      <c r="B1216" s="183" t="s">
        <v>1591</v>
      </c>
      <c r="C1216" s="198" t="s">
        <v>1562</v>
      </c>
      <c r="D1216" s="310" t="s">
        <v>1592</v>
      </c>
      <c r="E1216" s="198" t="s">
        <v>55</v>
      </c>
      <c r="F1216" s="281">
        <v>129.6</v>
      </c>
      <c r="G1216" s="229"/>
      <c r="H1216" s="235"/>
    </row>
    <row r="1217" spans="2:8">
      <c r="B1217" s="183" t="s">
        <v>1593</v>
      </c>
      <c r="C1217" s="198" t="s">
        <v>1562</v>
      </c>
      <c r="D1217" s="310" t="s">
        <v>1584</v>
      </c>
      <c r="E1217" s="198" t="s">
        <v>55</v>
      </c>
      <c r="F1217" s="281">
        <v>6.48</v>
      </c>
      <c r="G1217" s="229"/>
      <c r="H1217" s="235"/>
    </row>
    <row r="1218" spans="2:8">
      <c r="B1218" s="183" t="s">
        <v>1594</v>
      </c>
      <c r="C1218" s="198" t="s">
        <v>1562</v>
      </c>
      <c r="D1218" s="310" t="s">
        <v>1577</v>
      </c>
      <c r="E1218" s="198" t="s">
        <v>1566</v>
      </c>
      <c r="F1218" s="281">
        <v>9</v>
      </c>
      <c r="G1218" s="229"/>
      <c r="H1218" s="235"/>
    </row>
    <row r="1219" spans="2:8">
      <c r="B1219" s="183" t="s">
        <v>1595</v>
      </c>
      <c r="C1219" s="198" t="s">
        <v>1596</v>
      </c>
      <c r="D1219" s="332" t="s">
        <v>1597</v>
      </c>
      <c r="E1219" s="198" t="s">
        <v>55</v>
      </c>
      <c r="F1219" s="281">
        <v>291.7</v>
      </c>
      <c r="G1219" s="229"/>
      <c r="H1219" s="235"/>
    </row>
    <row r="1220" spans="2:8">
      <c r="B1220" s="183" t="s">
        <v>1598</v>
      </c>
      <c r="C1220" s="361"/>
      <c r="D1220" s="334" t="s">
        <v>264</v>
      </c>
      <c r="E1220" s="331"/>
      <c r="F1220" s="293"/>
      <c r="G1220" s="243"/>
      <c r="H1220" s="242"/>
    </row>
    <row r="1221" spans="2:8">
      <c r="B1221" s="183" t="s">
        <v>1599</v>
      </c>
      <c r="C1221" s="198" t="s">
        <v>1562</v>
      </c>
      <c r="D1221" s="310" t="s">
        <v>1592</v>
      </c>
      <c r="E1221" s="198" t="s">
        <v>55</v>
      </c>
      <c r="F1221" s="281">
        <v>405</v>
      </c>
      <c r="G1221" s="229"/>
      <c r="H1221" s="235"/>
    </row>
    <row r="1222" spans="2:8">
      <c r="B1222" s="183" t="s">
        <v>1600</v>
      </c>
      <c r="C1222" s="198" t="s">
        <v>1562</v>
      </c>
      <c r="D1222" s="310" t="s">
        <v>1584</v>
      </c>
      <c r="E1222" s="198" t="s">
        <v>55</v>
      </c>
      <c r="F1222" s="287">
        <v>51.84</v>
      </c>
      <c r="G1222" s="229"/>
      <c r="H1222" s="235"/>
    </row>
    <row r="1223" spans="2:8">
      <c r="B1223" s="183" t="s">
        <v>1601</v>
      </c>
      <c r="C1223" s="198" t="s">
        <v>1562</v>
      </c>
      <c r="D1223" s="310" t="s">
        <v>1575</v>
      </c>
      <c r="E1223" s="198" t="s">
        <v>1566</v>
      </c>
      <c r="F1223" s="291">
        <v>3</v>
      </c>
      <c r="G1223" s="229"/>
      <c r="H1223" s="235"/>
    </row>
    <row r="1224" spans="2:8">
      <c r="B1224" s="183" t="s">
        <v>1602</v>
      </c>
      <c r="C1224" s="198" t="s">
        <v>1562</v>
      </c>
      <c r="D1224" s="310" t="s">
        <v>1577</v>
      </c>
      <c r="E1224" s="198" t="s">
        <v>1566</v>
      </c>
      <c r="F1224" s="281">
        <v>14</v>
      </c>
      <c r="G1224" s="229"/>
      <c r="H1224" s="235"/>
    </row>
    <row r="1225" spans="2:8">
      <c r="B1225" s="183" t="s">
        <v>1603</v>
      </c>
      <c r="C1225" s="361"/>
      <c r="D1225" s="334" t="s">
        <v>272</v>
      </c>
      <c r="E1225" s="331"/>
      <c r="F1225" s="293"/>
      <c r="G1225" s="243"/>
      <c r="H1225" s="242"/>
    </row>
    <row r="1226" spans="2:8">
      <c r="B1226" s="183" t="s">
        <v>1604</v>
      </c>
      <c r="C1226" s="198" t="s">
        <v>1562</v>
      </c>
      <c r="D1226" s="310" t="s">
        <v>1605</v>
      </c>
      <c r="E1226" s="198" t="s">
        <v>55</v>
      </c>
      <c r="F1226" s="293">
        <v>25.92</v>
      </c>
      <c r="G1226" s="229"/>
      <c r="H1226" s="235"/>
    </row>
    <row r="1227" spans="2:8">
      <c r="B1227" s="183" t="s">
        <v>1606</v>
      </c>
      <c r="C1227" s="198" t="s">
        <v>1562</v>
      </c>
      <c r="D1227" s="310" t="s">
        <v>1607</v>
      </c>
      <c r="E1227" s="198" t="s">
        <v>55</v>
      </c>
      <c r="F1227" s="293">
        <v>366.12</v>
      </c>
      <c r="G1227" s="229"/>
      <c r="H1227" s="235"/>
    </row>
    <row r="1228" spans="2:8">
      <c r="B1228" s="183" t="s">
        <v>1608</v>
      </c>
      <c r="C1228" s="198" t="s">
        <v>1562</v>
      </c>
      <c r="D1228" s="310" t="s">
        <v>1575</v>
      </c>
      <c r="E1228" s="198" t="s">
        <v>1566</v>
      </c>
      <c r="F1228" s="291">
        <v>1</v>
      </c>
      <c r="G1228" s="229"/>
      <c r="H1228" s="235"/>
    </row>
    <row r="1229" spans="2:8">
      <c r="B1229" s="183" t="s">
        <v>1609</v>
      </c>
      <c r="C1229" s="198" t="s">
        <v>1562</v>
      </c>
      <c r="D1229" s="310" t="s">
        <v>1577</v>
      </c>
      <c r="E1229" s="198" t="s">
        <v>1566</v>
      </c>
      <c r="F1229" s="281">
        <v>16</v>
      </c>
      <c r="G1229" s="229"/>
      <c r="H1229" s="235"/>
    </row>
    <row r="1230" spans="2:8">
      <c r="B1230" s="183" t="s">
        <v>1610</v>
      </c>
      <c r="C1230" s="361"/>
      <c r="D1230" s="334" t="s">
        <v>279</v>
      </c>
      <c r="E1230" s="331"/>
      <c r="F1230" s="293"/>
      <c r="G1230" s="243"/>
      <c r="H1230" s="242"/>
    </row>
    <row r="1231" spans="2:8">
      <c r="B1231" s="183" t="s">
        <v>1611</v>
      </c>
      <c r="C1231" s="198" t="s">
        <v>1562</v>
      </c>
      <c r="D1231" s="310" t="s">
        <v>1605</v>
      </c>
      <c r="E1231" s="198" t="s">
        <v>55</v>
      </c>
      <c r="F1231" s="293">
        <v>25.92</v>
      </c>
      <c r="G1231" s="229"/>
      <c r="H1231" s="235"/>
    </row>
    <row r="1232" spans="2:8">
      <c r="B1232" s="183" t="s">
        <v>1612</v>
      </c>
      <c r="C1232" s="198" t="s">
        <v>1562</v>
      </c>
      <c r="D1232" s="310" t="s">
        <v>1607</v>
      </c>
      <c r="E1232" s="198" t="s">
        <v>55</v>
      </c>
      <c r="F1232" s="293">
        <v>366.12</v>
      </c>
      <c r="G1232" s="229"/>
      <c r="H1232" s="235"/>
    </row>
    <row r="1233" spans="2:8">
      <c r="B1233" s="183" t="s">
        <v>1613</v>
      </c>
      <c r="C1233" s="198" t="s">
        <v>1562</v>
      </c>
      <c r="D1233" s="310" t="s">
        <v>1575</v>
      </c>
      <c r="E1233" s="198" t="s">
        <v>1566</v>
      </c>
      <c r="F1233" s="287">
        <v>1</v>
      </c>
      <c r="G1233" s="229"/>
      <c r="H1233" s="235"/>
    </row>
    <row r="1234" spans="2:8">
      <c r="B1234" s="183" t="s">
        <v>1614</v>
      </c>
      <c r="C1234" s="198" t="s">
        <v>1562</v>
      </c>
      <c r="D1234" s="310" t="s">
        <v>1577</v>
      </c>
      <c r="E1234" s="198" t="s">
        <v>1566</v>
      </c>
      <c r="F1234" s="281">
        <v>16</v>
      </c>
      <c r="G1234" s="229"/>
      <c r="H1234" s="235"/>
    </row>
    <row r="1235" spans="2:8">
      <c r="B1235" s="183" t="s">
        <v>1615</v>
      </c>
      <c r="C1235" s="361"/>
      <c r="D1235" s="334" t="s">
        <v>286</v>
      </c>
      <c r="E1235" s="331"/>
      <c r="F1235" s="293"/>
      <c r="G1235" s="243"/>
      <c r="H1235" s="242"/>
    </row>
    <row r="1236" spans="2:8">
      <c r="B1236" s="183" t="s">
        <v>1616</v>
      </c>
      <c r="C1236" s="198" t="s">
        <v>1562</v>
      </c>
      <c r="D1236" s="310" t="s">
        <v>1605</v>
      </c>
      <c r="E1236" s="198" t="s">
        <v>55</v>
      </c>
      <c r="F1236" s="281">
        <v>25.92</v>
      </c>
      <c r="G1236" s="229"/>
      <c r="H1236" s="235"/>
    </row>
    <row r="1237" spans="2:8">
      <c r="B1237" s="183" t="s">
        <v>1617</v>
      </c>
      <c r="C1237" s="198" t="s">
        <v>1562</v>
      </c>
      <c r="D1237" s="310" t="s">
        <v>1607</v>
      </c>
      <c r="E1237" s="198" t="s">
        <v>55</v>
      </c>
      <c r="F1237" s="281">
        <v>353.16</v>
      </c>
      <c r="G1237" s="229"/>
      <c r="H1237" s="235"/>
    </row>
    <row r="1238" spans="2:8">
      <c r="B1238" s="183" t="s">
        <v>1618</v>
      </c>
      <c r="C1238" s="198" t="s">
        <v>1562</v>
      </c>
      <c r="D1238" s="310" t="s">
        <v>1575</v>
      </c>
      <c r="E1238" s="198" t="s">
        <v>1566</v>
      </c>
      <c r="F1238" s="281">
        <v>1</v>
      </c>
      <c r="G1238" s="229"/>
      <c r="H1238" s="235"/>
    </row>
    <row r="1239" spans="2:8">
      <c r="B1239" s="183" t="s">
        <v>1619</v>
      </c>
      <c r="C1239" s="198" t="s">
        <v>1562</v>
      </c>
      <c r="D1239" s="310" t="s">
        <v>1577</v>
      </c>
      <c r="E1239" s="198" t="s">
        <v>1566</v>
      </c>
      <c r="F1239" s="281">
        <v>16</v>
      </c>
      <c r="G1239" s="229"/>
      <c r="H1239" s="235"/>
    </row>
    <row r="1240" spans="2:8">
      <c r="B1240" s="183" t="s">
        <v>1620</v>
      </c>
      <c r="C1240" s="361"/>
      <c r="D1240" s="334" t="s">
        <v>293</v>
      </c>
      <c r="E1240" s="331"/>
      <c r="F1240" s="281"/>
      <c r="G1240" s="243"/>
      <c r="H1240" s="242"/>
    </row>
    <row r="1241" spans="2:8">
      <c r="B1241" s="183" t="s">
        <v>1621</v>
      </c>
      <c r="C1241" s="198" t="s">
        <v>1562</v>
      </c>
      <c r="D1241" s="310" t="s">
        <v>1605</v>
      </c>
      <c r="E1241" s="198" t="s">
        <v>55</v>
      </c>
      <c r="F1241" s="281">
        <v>12.96</v>
      </c>
      <c r="G1241" s="229"/>
      <c r="H1241" s="235"/>
    </row>
    <row r="1242" spans="2:8">
      <c r="B1242" s="183" t="s">
        <v>1622</v>
      </c>
      <c r="C1242" s="198" t="s">
        <v>1562</v>
      </c>
      <c r="D1242" s="310" t="s">
        <v>1607</v>
      </c>
      <c r="E1242" s="198" t="s">
        <v>55</v>
      </c>
      <c r="F1242" s="281">
        <v>298.08000000000004</v>
      </c>
      <c r="G1242" s="229"/>
      <c r="H1242" s="235"/>
    </row>
    <row r="1243" spans="2:8">
      <c r="B1243" s="183" t="s">
        <v>1623</v>
      </c>
      <c r="C1243" s="198" t="s">
        <v>1562</v>
      </c>
      <c r="D1243" s="310" t="s">
        <v>1584</v>
      </c>
      <c r="E1243" s="362" t="s">
        <v>55</v>
      </c>
      <c r="F1243" s="281">
        <v>16.200000000000003</v>
      </c>
      <c r="G1243" s="229"/>
      <c r="H1243" s="235"/>
    </row>
    <row r="1244" spans="2:8">
      <c r="B1244" s="183" t="s">
        <v>1624</v>
      </c>
      <c r="C1244" s="198" t="s">
        <v>1562</v>
      </c>
      <c r="D1244" s="310" t="s">
        <v>1577</v>
      </c>
      <c r="E1244" s="198" t="s">
        <v>1566</v>
      </c>
      <c r="F1244" s="281">
        <v>15</v>
      </c>
      <c r="G1244" s="229"/>
      <c r="H1244" s="235"/>
    </row>
    <row r="1245" spans="2:8">
      <c r="B1245" s="183" t="s">
        <v>1625</v>
      </c>
      <c r="C1245" s="198" t="s">
        <v>1596</v>
      </c>
      <c r="D1245" s="332" t="s">
        <v>1597</v>
      </c>
      <c r="E1245" s="198" t="s">
        <v>55</v>
      </c>
      <c r="F1245" s="281">
        <v>93.5</v>
      </c>
      <c r="G1245" s="229"/>
      <c r="H1245" s="235"/>
    </row>
    <row r="1246" spans="2:8" ht="15">
      <c r="B1246" s="186" t="s">
        <v>1626</v>
      </c>
      <c r="C1246" s="360"/>
      <c r="D1246" s="313" t="s">
        <v>236</v>
      </c>
      <c r="E1246" s="314"/>
      <c r="F1246" s="301"/>
      <c r="G1246" s="233"/>
      <c r="H1246" s="234"/>
    </row>
    <row r="1247" spans="2:8">
      <c r="B1247" s="183" t="s">
        <v>1627</v>
      </c>
      <c r="C1247" s="361"/>
      <c r="D1247" s="334" t="s">
        <v>679</v>
      </c>
      <c r="E1247" s="331"/>
      <c r="F1247" s="293"/>
      <c r="G1247" s="243"/>
      <c r="H1247" s="242"/>
    </row>
    <row r="1248" spans="2:8" ht="25.5">
      <c r="B1248" s="183" t="s">
        <v>1628</v>
      </c>
      <c r="C1248" s="198"/>
      <c r="D1248" s="310" t="s">
        <v>1568</v>
      </c>
      <c r="E1248" s="198" t="s">
        <v>55</v>
      </c>
      <c r="F1248" s="281">
        <v>38</v>
      </c>
      <c r="G1248" s="229"/>
      <c r="H1248" s="235"/>
    </row>
    <row r="1249" spans="2:8" ht="25.5">
      <c r="B1249" s="183" t="s">
        <v>1629</v>
      </c>
      <c r="C1249" s="198"/>
      <c r="D1249" s="310" t="s">
        <v>1565</v>
      </c>
      <c r="E1249" s="198" t="s">
        <v>1566</v>
      </c>
      <c r="F1249" s="287">
        <v>15</v>
      </c>
      <c r="G1249" s="229"/>
      <c r="H1249" s="235"/>
    </row>
    <row r="1250" spans="2:8">
      <c r="B1250" s="183" t="s">
        <v>1630</v>
      </c>
      <c r="C1250" s="361"/>
      <c r="D1250" s="334" t="s">
        <v>264</v>
      </c>
      <c r="E1250" s="331"/>
      <c r="F1250" s="293"/>
      <c r="G1250" s="243"/>
      <c r="H1250" s="242"/>
    </row>
    <row r="1251" spans="2:8" ht="25.5">
      <c r="B1251" s="183" t="s">
        <v>1631</v>
      </c>
      <c r="C1251" s="198"/>
      <c r="D1251" s="310" t="s">
        <v>1568</v>
      </c>
      <c r="E1251" s="198" t="s">
        <v>55</v>
      </c>
      <c r="F1251" s="281">
        <v>38</v>
      </c>
      <c r="G1251" s="229"/>
      <c r="H1251" s="235"/>
    </row>
    <row r="1252" spans="2:8" ht="25.5">
      <c r="B1252" s="183" t="s">
        <v>1632</v>
      </c>
      <c r="C1252" s="198"/>
      <c r="D1252" s="310" t="s">
        <v>1565</v>
      </c>
      <c r="E1252" s="198" t="s">
        <v>1566</v>
      </c>
      <c r="F1252" s="281">
        <v>15</v>
      </c>
      <c r="G1252" s="229"/>
      <c r="H1252" s="235"/>
    </row>
    <row r="1253" spans="2:8">
      <c r="B1253" s="183" t="s">
        <v>1633</v>
      </c>
      <c r="C1253" s="361"/>
      <c r="D1253" s="334" t="s">
        <v>272</v>
      </c>
      <c r="E1253" s="331"/>
      <c r="F1253" s="293"/>
      <c r="G1253" s="243"/>
      <c r="H1253" s="242"/>
    </row>
    <row r="1254" spans="2:8" ht="25.5">
      <c r="B1254" s="183" t="s">
        <v>1634</v>
      </c>
      <c r="C1254" s="198"/>
      <c r="D1254" s="310" t="s">
        <v>1568</v>
      </c>
      <c r="E1254" s="198" t="s">
        <v>55</v>
      </c>
      <c r="F1254" s="281">
        <v>38</v>
      </c>
      <c r="G1254" s="229"/>
      <c r="H1254" s="235"/>
    </row>
    <row r="1255" spans="2:8" ht="25.5">
      <c r="B1255" s="183" t="s">
        <v>1606</v>
      </c>
      <c r="C1255" s="198"/>
      <c r="D1255" s="310" t="s">
        <v>1565</v>
      </c>
      <c r="E1255" s="198" t="s">
        <v>1566</v>
      </c>
      <c r="F1255" s="281">
        <v>15</v>
      </c>
      <c r="G1255" s="229"/>
      <c r="H1255" s="235"/>
    </row>
    <row r="1256" spans="2:8">
      <c r="B1256" s="183" t="s">
        <v>1635</v>
      </c>
      <c r="C1256" s="361"/>
      <c r="D1256" s="334" t="s">
        <v>279</v>
      </c>
      <c r="E1256" s="331"/>
      <c r="F1256" s="293"/>
      <c r="G1256" s="243"/>
      <c r="H1256" s="242"/>
    </row>
    <row r="1257" spans="2:8" ht="25.5">
      <c r="B1257" s="183" t="s">
        <v>1636</v>
      </c>
      <c r="C1257" s="198"/>
      <c r="D1257" s="310" t="s">
        <v>1568</v>
      </c>
      <c r="E1257" s="198" t="s">
        <v>55</v>
      </c>
      <c r="F1257" s="281">
        <v>38</v>
      </c>
      <c r="G1257" s="229"/>
      <c r="H1257" s="235"/>
    </row>
    <row r="1258" spans="2:8" ht="25.5">
      <c r="B1258" s="183" t="s">
        <v>1637</v>
      </c>
      <c r="C1258" s="351"/>
      <c r="D1258" s="310" t="s">
        <v>1565</v>
      </c>
      <c r="E1258" s="198" t="s">
        <v>1566</v>
      </c>
      <c r="F1258" s="281">
        <v>15</v>
      </c>
      <c r="G1258" s="229"/>
      <c r="H1258" s="235"/>
    </row>
    <row r="1259" spans="2:8">
      <c r="B1259" s="183" t="s">
        <v>1638</v>
      </c>
      <c r="C1259" s="361"/>
      <c r="D1259" s="334" t="s">
        <v>286</v>
      </c>
      <c r="E1259" s="331"/>
      <c r="F1259" s="293"/>
      <c r="G1259" s="243"/>
      <c r="H1259" s="242"/>
    </row>
    <row r="1260" spans="2:8" ht="25.5">
      <c r="B1260" s="183" t="s">
        <v>1639</v>
      </c>
      <c r="C1260" s="198"/>
      <c r="D1260" s="310" t="s">
        <v>1568</v>
      </c>
      <c r="E1260" s="198" t="s">
        <v>55</v>
      </c>
      <c r="F1260" s="281">
        <v>38</v>
      </c>
      <c r="G1260" s="229"/>
      <c r="H1260" s="235"/>
    </row>
    <row r="1261" spans="2:8" ht="25.5">
      <c r="B1261" s="183" t="s">
        <v>1640</v>
      </c>
      <c r="C1261" s="351"/>
      <c r="D1261" s="310" t="s">
        <v>1565</v>
      </c>
      <c r="E1261" s="198" t="s">
        <v>1566</v>
      </c>
      <c r="F1261" s="281">
        <v>15</v>
      </c>
      <c r="G1261" s="229"/>
      <c r="H1261" s="235"/>
    </row>
    <row r="1262" spans="2:8">
      <c r="B1262" s="183" t="s">
        <v>1641</v>
      </c>
      <c r="C1262" s="361"/>
      <c r="D1262" s="334" t="s">
        <v>293</v>
      </c>
      <c r="E1262" s="331"/>
      <c r="F1262" s="293"/>
      <c r="G1262" s="243"/>
      <c r="H1262" s="242"/>
    </row>
    <row r="1263" spans="2:8" ht="25.5">
      <c r="B1263" s="183" t="s">
        <v>1642</v>
      </c>
      <c r="C1263" s="198"/>
      <c r="D1263" s="310" t="s">
        <v>1568</v>
      </c>
      <c r="E1263" s="198" t="s">
        <v>55</v>
      </c>
      <c r="F1263" s="281">
        <v>38</v>
      </c>
      <c r="G1263" s="229"/>
      <c r="H1263" s="235"/>
    </row>
    <row r="1264" spans="2:8" ht="25.5">
      <c r="B1264" s="183" t="s">
        <v>1643</v>
      </c>
      <c r="C1264" s="351"/>
      <c r="D1264" s="310" t="s">
        <v>1565</v>
      </c>
      <c r="E1264" s="198" t="s">
        <v>1566</v>
      </c>
      <c r="F1264" s="281">
        <v>15</v>
      </c>
      <c r="G1264" s="229"/>
      <c r="H1264" s="235"/>
    </row>
    <row r="1265" spans="2:8">
      <c r="B1265" s="183" t="s">
        <v>1644</v>
      </c>
      <c r="C1265" s="361"/>
      <c r="D1265" s="334" t="s">
        <v>719</v>
      </c>
      <c r="E1265" s="331"/>
      <c r="F1265" s="293"/>
      <c r="G1265" s="243"/>
      <c r="H1265" s="242"/>
    </row>
    <row r="1266" spans="2:8" ht="25.5">
      <c r="B1266" s="183" t="s">
        <v>1645</v>
      </c>
      <c r="C1266" s="198"/>
      <c r="D1266" s="310" t="s">
        <v>1568</v>
      </c>
      <c r="E1266" s="198" t="s">
        <v>55</v>
      </c>
      <c r="F1266" s="281">
        <v>11</v>
      </c>
      <c r="G1266" s="229"/>
      <c r="H1266" s="235"/>
    </row>
    <row r="1267" spans="2:8">
      <c r="B1267" s="129" t="s">
        <v>1646</v>
      </c>
      <c r="C1267" s="198" t="s">
        <v>1562</v>
      </c>
      <c r="D1267" s="310" t="s">
        <v>1647</v>
      </c>
      <c r="E1267" s="362" t="s">
        <v>55</v>
      </c>
      <c r="F1267" s="281">
        <v>32.4</v>
      </c>
      <c r="G1267" s="229"/>
      <c r="H1267" s="230"/>
    </row>
    <row r="1268" spans="2:8" ht="25.5">
      <c r="B1268" s="183" t="s">
        <v>1648</v>
      </c>
      <c r="C1268" s="351"/>
      <c r="D1268" s="310" t="s">
        <v>1565</v>
      </c>
      <c r="E1268" s="198" t="s">
        <v>1566</v>
      </c>
      <c r="F1268" s="287">
        <v>4</v>
      </c>
      <c r="G1268" s="229"/>
      <c r="H1268" s="235"/>
    </row>
    <row r="1269" spans="2:8" ht="15">
      <c r="B1269" s="186" t="s">
        <v>1649</v>
      </c>
      <c r="C1269" s="360"/>
      <c r="D1269" s="313" t="s">
        <v>243</v>
      </c>
      <c r="E1269" s="314"/>
      <c r="F1269" s="283"/>
      <c r="G1269" s="233"/>
      <c r="H1269" s="234"/>
    </row>
    <row r="1270" spans="2:8">
      <c r="B1270" s="183" t="s">
        <v>1650</v>
      </c>
      <c r="C1270" s="361"/>
      <c r="D1270" s="334" t="s">
        <v>679</v>
      </c>
      <c r="E1270" s="331"/>
      <c r="F1270" s="293"/>
      <c r="G1270" s="243"/>
      <c r="H1270" s="242"/>
    </row>
    <row r="1271" spans="2:8">
      <c r="B1271" s="183" t="s">
        <v>1651</v>
      </c>
      <c r="C1271" s="198" t="s">
        <v>1562</v>
      </c>
      <c r="D1271" s="310" t="s">
        <v>1652</v>
      </c>
      <c r="E1271" s="198" t="s">
        <v>55</v>
      </c>
      <c r="F1271" s="281">
        <v>6.48</v>
      </c>
      <c r="G1271" s="229"/>
      <c r="H1271" s="235"/>
    </row>
    <row r="1272" spans="2:8">
      <c r="B1272" s="183" t="s">
        <v>1653</v>
      </c>
      <c r="C1272" s="198" t="s">
        <v>1562</v>
      </c>
      <c r="D1272" s="310" t="s">
        <v>1607</v>
      </c>
      <c r="E1272" s="198" t="s">
        <v>55</v>
      </c>
      <c r="F1272" s="281">
        <v>398.52000000000004</v>
      </c>
      <c r="G1272" s="229"/>
      <c r="H1272" s="235"/>
    </row>
    <row r="1273" spans="2:8">
      <c r="B1273" s="183" t="s">
        <v>1654</v>
      </c>
      <c r="C1273" s="198" t="s">
        <v>1562</v>
      </c>
      <c r="D1273" s="310" t="s">
        <v>1647</v>
      </c>
      <c r="E1273" s="198" t="s">
        <v>55</v>
      </c>
      <c r="F1273" s="281">
        <v>19.440000000000001</v>
      </c>
      <c r="G1273" s="229"/>
      <c r="H1273" s="235"/>
    </row>
    <row r="1274" spans="2:8">
      <c r="B1274" s="183" t="s">
        <v>1655</v>
      </c>
      <c r="C1274" s="198" t="s">
        <v>1562</v>
      </c>
      <c r="D1274" s="310" t="s">
        <v>1577</v>
      </c>
      <c r="E1274" s="198" t="s">
        <v>1566</v>
      </c>
      <c r="F1274" s="281">
        <v>16</v>
      </c>
      <c r="G1274" s="229"/>
      <c r="H1274" s="235"/>
    </row>
    <row r="1275" spans="2:8">
      <c r="B1275" s="183" t="s">
        <v>1656</v>
      </c>
      <c r="C1275" s="198" t="s">
        <v>1596</v>
      </c>
      <c r="D1275" s="332" t="s">
        <v>1597</v>
      </c>
      <c r="E1275" s="198" t="s">
        <v>55</v>
      </c>
      <c r="F1275" s="281">
        <v>66.2</v>
      </c>
      <c r="G1275" s="229"/>
      <c r="H1275" s="235"/>
    </row>
    <row r="1276" spans="2:8">
      <c r="B1276" s="183" t="s">
        <v>1657</v>
      </c>
      <c r="C1276" s="361"/>
      <c r="D1276" s="334" t="s">
        <v>264</v>
      </c>
      <c r="E1276" s="331"/>
      <c r="F1276" s="281"/>
      <c r="G1276" s="243"/>
      <c r="H1276" s="242"/>
    </row>
    <row r="1277" spans="2:8">
      <c r="B1277" s="183" t="s">
        <v>1658</v>
      </c>
      <c r="C1277" s="198" t="s">
        <v>1562</v>
      </c>
      <c r="D1277" s="310" t="s">
        <v>1607</v>
      </c>
      <c r="E1277" s="198" t="s">
        <v>55</v>
      </c>
      <c r="F1277" s="287">
        <v>343.44</v>
      </c>
      <c r="G1277" s="229"/>
      <c r="H1277" s="235"/>
    </row>
    <row r="1278" spans="2:8">
      <c r="B1278" s="183" t="s">
        <v>1659</v>
      </c>
      <c r="C1278" s="198" t="s">
        <v>1562</v>
      </c>
      <c r="D1278" s="310" t="s">
        <v>1647</v>
      </c>
      <c r="E1278" s="198" t="s">
        <v>55</v>
      </c>
      <c r="F1278" s="287">
        <v>48.6</v>
      </c>
      <c r="G1278" s="229"/>
      <c r="H1278" s="235"/>
    </row>
    <row r="1279" spans="2:8">
      <c r="B1279" s="183" t="s">
        <v>1660</v>
      </c>
      <c r="C1279" s="198" t="s">
        <v>1562</v>
      </c>
      <c r="D1279" s="310" t="s">
        <v>1577</v>
      </c>
      <c r="E1279" s="198" t="s">
        <v>1566</v>
      </c>
      <c r="F1279" s="287">
        <v>15</v>
      </c>
      <c r="G1279" s="229"/>
      <c r="H1279" s="235"/>
    </row>
    <row r="1280" spans="2:8">
      <c r="B1280" s="183" t="s">
        <v>1661</v>
      </c>
      <c r="C1280" s="361"/>
      <c r="D1280" s="334" t="s">
        <v>272</v>
      </c>
      <c r="E1280" s="331"/>
      <c r="F1280" s="281"/>
      <c r="G1280" s="243"/>
      <c r="H1280" s="242"/>
    </row>
    <row r="1281" spans="2:8">
      <c r="B1281" s="183" t="s">
        <v>1662</v>
      </c>
      <c r="C1281" s="198" t="s">
        <v>1562</v>
      </c>
      <c r="D1281" s="310" t="s">
        <v>1652</v>
      </c>
      <c r="E1281" s="198" t="s">
        <v>55</v>
      </c>
      <c r="F1281" s="287">
        <v>12.96</v>
      </c>
      <c r="G1281" s="229"/>
      <c r="H1281" s="235"/>
    </row>
    <row r="1282" spans="2:8">
      <c r="B1282" s="183" t="s">
        <v>1663</v>
      </c>
      <c r="C1282" s="198" t="s">
        <v>1562</v>
      </c>
      <c r="D1282" s="310" t="s">
        <v>1607</v>
      </c>
      <c r="E1282" s="198" t="s">
        <v>55</v>
      </c>
      <c r="F1282" s="287">
        <v>317.52000000000004</v>
      </c>
      <c r="G1282" s="229"/>
      <c r="H1282" s="235"/>
    </row>
    <row r="1283" spans="2:8">
      <c r="B1283" s="183" t="s">
        <v>1664</v>
      </c>
      <c r="C1283" s="198" t="s">
        <v>1562</v>
      </c>
      <c r="D1283" s="310" t="s">
        <v>1647</v>
      </c>
      <c r="E1283" s="198" t="s">
        <v>55</v>
      </c>
      <c r="F1283" s="287">
        <v>48.6</v>
      </c>
      <c r="G1283" s="229"/>
      <c r="H1283" s="235"/>
    </row>
    <row r="1284" spans="2:8">
      <c r="B1284" s="183" t="s">
        <v>1665</v>
      </c>
      <c r="C1284" s="198" t="s">
        <v>1562</v>
      </c>
      <c r="D1284" s="310" t="s">
        <v>1577</v>
      </c>
      <c r="E1284" s="198" t="s">
        <v>1566</v>
      </c>
      <c r="F1284" s="287">
        <v>15</v>
      </c>
      <c r="G1284" s="229"/>
      <c r="H1284" s="235"/>
    </row>
    <row r="1285" spans="2:8">
      <c r="B1285" s="183" t="s">
        <v>1666</v>
      </c>
      <c r="C1285" s="361"/>
      <c r="D1285" s="334" t="s">
        <v>279</v>
      </c>
      <c r="E1285" s="331"/>
      <c r="F1285" s="281"/>
      <c r="G1285" s="243"/>
      <c r="H1285" s="242"/>
    </row>
    <row r="1286" spans="2:8">
      <c r="B1286" s="183" t="s">
        <v>1667</v>
      </c>
      <c r="C1286" s="198" t="s">
        <v>1562</v>
      </c>
      <c r="D1286" s="310" t="s">
        <v>1652</v>
      </c>
      <c r="E1286" s="198" t="s">
        <v>55</v>
      </c>
      <c r="F1286" s="287">
        <v>9.7200000000000006</v>
      </c>
      <c r="G1286" s="229"/>
      <c r="H1286" s="235"/>
    </row>
    <row r="1287" spans="2:8">
      <c r="B1287" s="183" t="s">
        <v>1668</v>
      </c>
      <c r="C1287" s="198" t="s">
        <v>1562</v>
      </c>
      <c r="D1287" s="310" t="s">
        <v>1607</v>
      </c>
      <c r="E1287" s="198" t="s">
        <v>55</v>
      </c>
      <c r="F1287" s="287">
        <v>450.36</v>
      </c>
      <c r="G1287" s="229"/>
      <c r="H1287" s="235"/>
    </row>
    <row r="1288" spans="2:8">
      <c r="B1288" s="183" t="s">
        <v>1669</v>
      </c>
      <c r="C1288" s="198" t="s">
        <v>1562</v>
      </c>
      <c r="D1288" s="310" t="s">
        <v>1577</v>
      </c>
      <c r="E1288" s="198" t="s">
        <v>1566</v>
      </c>
      <c r="F1288" s="287">
        <v>21</v>
      </c>
      <c r="G1288" s="229"/>
      <c r="H1288" s="235"/>
    </row>
    <row r="1289" spans="2:8">
      <c r="B1289" s="183" t="s">
        <v>1670</v>
      </c>
      <c r="C1289" s="361"/>
      <c r="D1289" s="334" t="s">
        <v>286</v>
      </c>
      <c r="E1289" s="331"/>
      <c r="F1289" s="281"/>
      <c r="G1289" s="243"/>
      <c r="H1289" s="242"/>
    </row>
    <row r="1290" spans="2:8">
      <c r="B1290" s="183" t="s">
        <v>1671</v>
      </c>
      <c r="C1290" s="198" t="s">
        <v>1562</v>
      </c>
      <c r="D1290" s="310" t="s">
        <v>1607</v>
      </c>
      <c r="E1290" s="198" t="s">
        <v>55</v>
      </c>
      <c r="F1290" s="293">
        <v>25.92</v>
      </c>
      <c r="G1290" s="229"/>
      <c r="H1290" s="235"/>
    </row>
    <row r="1291" spans="2:8" ht="15">
      <c r="B1291" s="186" t="s">
        <v>1672</v>
      </c>
      <c r="C1291" s="312"/>
      <c r="D1291" s="313" t="s">
        <v>112</v>
      </c>
      <c r="E1291" s="314"/>
      <c r="F1291" s="283"/>
      <c r="G1291" s="233"/>
      <c r="H1291" s="234"/>
    </row>
    <row r="1292" spans="2:8">
      <c r="B1292" s="183" t="s">
        <v>1673</v>
      </c>
      <c r="C1292" s="198"/>
      <c r="D1292" s="332" t="s">
        <v>1674</v>
      </c>
      <c r="E1292" s="198"/>
      <c r="F1292" s="281"/>
      <c r="G1292" s="229"/>
      <c r="H1292" s="235"/>
    </row>
    <row r="1293" spans="2:8" ht="25.5">
      <c r="B1293" s="183" t="s">
        <v>1675</v>
      </c>
      <c r="C1293" s="198"/>
      <c r="D1293" s="310" t="s">
        <v>1568</v>
      </c>
      <c r="E1293" s="198" t="s">
        <v>55</v>
      </c>
      <c r="F1293" s="281">
        <v>16</v>
      </c>
      <c r="G1293" s="229"/>
      <c r="H1293" s="235"/>
    </row>
    <row r="1294" spans="2:8" ht="25.5">
      <c r="B1294" s="183" t="s">
        <v>1676</v>
      </c>
      <c r="C1294" s="198"/>
      <c r="D1294" s="310" t="s">
        <v>1565</v>
      </c>
      <c r="E1294" s="198" t="s">
        <v>1566</v>
      </c>
      <c r="F1294" s="292">
        <v>5</v>
      </c>
      <c r="G1294" s="245"/>
      <c r="H1294" s="270"/>
    </row>
    <row r="1295" spans="2:8">
      <c r="B1295" s="183" t="s">
        <v>1677</v>
      </c>
      <c r="C1295" s="333"/>
      <c r="D1295" s="334" t="s">
        <v>254</v>
      </c>
      <c r="E1295" s="331"/>
      <c r="F1295" s="291"/>
      <c r="G1295" s="243"/>
      <c r="H1295" s="242"/>
    </row>
    <row r="1296" spans="2:8" ht="25.5">
      <c r="B1296" s="183" t="s">
        <v>1678</v>
      </c>
      <c r="C1296" s="198"/>
      <c r="D1296" s="310" t="s">
        <v>1568</v>
      </c>
      <c r="E1296" s="198" t="s">
        <v>55</v>
      </c>
      <c r="F1296" s="281">
        <v>17</v>
      </c>
      <c r="G1296" s="229"/>
      <c r="H1296" s="235"/>
    </row>
    <row r="1297" spans="2:8" ht="25.5">
      <c r="B1297" s="183" t="s">
        <v>1679</v>
      </c>
      <c r="C1297" s="326"/>
      <c r="D1297" s="310" t="s">
        <v>1565</v>
      </c>
      <c r="E1297" s="198" t="s">
        <v>1566</v>
      </c>
      <c r="F1297" s="292">
        <v>6</v>
      </c>
      <c r="G1297" s="245"/>
      <c r="H1297" s="270"/>
    </row>
    <row r="1298" spans="2:8" ht="14.25">
      <c r="B1298" s="186" t="s">
        <v>1680</v>
      </c>
      <c r="C1298" s="323"/>
      <c r="D1298" s="324" t="s">
        <v>407</v>
      </c>
      <c r="E1298" s="325"/>
      <c r="F1298" s="286"/>
      <c r="G1298" s="238"/>
      <c r="H1298" s="239"/>
    </row>
    <row r="1299" spans="2:8">
      <c r="B1299" s="183" t="s">
        <v>1681</v>
      </c>
      <c r="C1299" s="198"/>
      <c r="D1299" s="310" t="s">
        <v>1682</v>
      </c>
      <c r="E1299" s="198" t="s">
        <v>55</v>
      </c>
      <c r="F1299" s="281">
        <v>18</v>
      </c>
      <c r="G1299" s="229"/>
      <c r="H1299" s="235"/>
    </row>
    <row r="1300" spans="2:8" ht="13.5" thickBot="1">
      <c r="B1300" s="183" t="s">
        <v>1683</v>
      </c>
      <c r="C1300" s="198"/>
      <c r="D1300" s="310" t="s">
        <v>1684</v>
      </c>
      <c r="E1300" s="198" t="s">
        <v>1566</v>
      </c>
      <c r="F1300" s="281">
        <v>8</v>
      </c>
      <c r="G1300" s="229"/>
      <c r="H1300" s="235"/>
    </row>
    <row r="1301" spans="2:8" ht="16.5" thickBot="1">
      <c r="B1301" s="479" t="s">
        <v>1685</v>
      </c>
      <c r="C1301" s="480" t="s">
        <v>1686</v>
      </c>
      <c r="D1301" s="481" t="s">
        <v>1687</v>
      </c>
      <c r="E1301" s="482"/>
      <c r="F1301" s="483"/>
      <c r="G1301" s="493"/>
      <c r="H1301" s="280"/>
    </row>
    <row r="1302" spans="2:8" ht="15">
      <c r="B1302" s="486" t="s">
        <v>1688</v>
      </c>
      <c r="C1302" s="487"/>
      <c r="D1302" s="488" t="s">
        <v>1689</v>
      </c>
      <c r="E1302" s="489"/>
      <c r="F1302" s="490"/>
      <c r="G1302" s="491"/>
      <c r="H1302" s="492"/>
    </row>
    <row r="1303" spans="2:8" ht="15">
      <c r="B1303" s="129" t="s">
        <v>1690</v>
      </c>
      <c r="C1303" s="363"/>
      <c r="D1303" s="364" t="s">
        <v>236</v>
      </c>
      <c r="E1303" s="365"/>
      <c r="F1303" s="302"/>
      <c r="G1303" s="271"/>
      <c r="H1303" s="272"/>
    </row>
    <row r="1304" spans="2:8" ht="38.25">
      <c r="B1304" s="129" t="s">
        <v>1691</v>
      </c>
      <c r="C1304" s="333"/>
      <c r="D1304" s="366" t="s">
        <v>1692</v>
      </c>
      <c r="E1304" s="198" t="s">
        <v>55</v>
      </c>
      <c r="F1304" s="281">
        <v>175</v>
      </c>
      <c r="G1304" s="229"/>
      <c r="H1304" s="230"/>
    </row>
    <row r="1305" spans="2:8">
      <c r="B1305" s="129" t="s">
        <v>1693</v>
      </c>
      <c r="C1305" s="333"/>
      <c r="D1305" s="366" t="s">
        <v>1694</v>
      </c>
      <c r="E1305" s="198" t="s">
        <v>55</v>
      </c>
      <c r="F1305" s="281">
        <v>92</v>
      </c>
      <c r="G1305" s="229"/>
      <c r="H1305" s="230"/>
    </row>
    <row r="1306" spans="2:8">
      <c r="B1306" s="129" t="s">
        <v>1695</v>
      </c>
      <c r="C1306" s="333"/>
      <c r="D1306" s="332" t="s">
        <v>1696</v>
      </c>
      <c r="E1306" s="198" t="s">
        <v>55</v>
      </c>
      <c r="F1306" s="281">
        <v>7</v>
      </c>
      <c r="G1306" s="229"/>
      <c r="H1306" s="230"/>
    </row>
    <row r="1307" spans="2:8" ht="15">
      <c r="B1307" s="129" t="s">
        <v>1697</v>
      </c>
      <c r="C1307" s="363"/>
      <c r="D1307" s="364" t="s">
        <v>1698</v>
      </c>
      <c r="E1307" s="365"/>
      <c r="F1307" s="302"/>
      <c r="G1307" s="271"/>
      <c r="H1307" s="272"/>
    </row>
    <row r="1308" spans="2:8" ht="25.5">
      <c r="B1308" s="129" t="s">
        <v>1699</v>
      </c>
      <c r="C1308" s="333"/>
      <c r="D1308" s="366" t="s">
        <v>1700</v>
      </c>
      <c r="E1308" s="198" t="s">
        <v>55</v>
      </c>
      <c r="F1308" s="281">
        <v>6</v>
      </c>
      <c r="G1308" s="229"/>
      <c r="H1308" s="230"/>
    </row>
    <row r="1309" spans="2:8">
      <c r="B1309" s="129" t="s">
        <v>1701</v>
      </c>
      <c r="C1309" s="333"/>
      <c r="D1309" s="366" t="s">
        <v>1702</v>
      </c>
      <c r="E1309" s="198" t="s">
        <v>55</v>
      </c>
      <c r="F1309" s="281">
        <v>22</v>
      </c>
      <c r="G1309" s="229"/>
      <c r="H1309" s="230"/>
    </row>
    <row r="1310" spans="2:8">
      <c r="B1310" s="129" t="s">
        <v>1703</v>
      </c>
      <c r="C1310" s="198" t="s">
        <v>1704</v>
      </c>
      <c r="D1310" s="366" t="s">
        <v>1694</v>
      </c>
      <c r="E1310" s="198" t="s">
        <v>55</v>
      </c>
      <c r="F1310" s="281">
        <v>27</v>
      </c>
      <c r="G1310" s="229"/>
      <c r="H1310" s="230"/>
    </row>
    <row r="1311" spans="2:8" ht="15">
      <c r="B1311" s="186" t="s">
        <v>1705</v>
      </c>
      <c r="C1311" s="312"/>
      <c r="D1311" s="313" t="s">
        <v>1706</v>
      </c>
      <c r="E1311" s="314"/>
      <c r="F1311" s="283"/>
      <c r="G1311" s="233"/>
      <c r="H1311" s="234"/>
    </row>
    <row r="1312" spans="2:8">
      <c r="B1312" s="129" t="s">
        <v>1707</v>
      </c>
      <c r="C1312" s="333"/>
      <c r="D1312" s="330" t="s">
        <v>224</v>
      </c>
      <c r="E1312" s="331"/>
      <c r="F1312" s="287"/>
      <c r="G1312" s="243"/>
      <c r="H1312" s="242"/>
    </row>
    <row r="1313" spans="2:8" ht="38.25">
      <c r="B1313" s="129" t="s">
        <v>1708</v>
      </c>
      <c r="C1313" s="333"/>
      <c r="D1313" s="366" t="s">
        <v>1692</v>
      </c>
      <c r="E1313" s="198" t="s">
        <v>55</v>
      </c>
      <c r="F1313" s="281">
        <v>766</v>
      </c>
      <c r="G1313" s="229"/>
      <c r="H1313" s="230"/>
    </row>
    <row r="1314" spans="2:8">
      <c r="B1314" s="129" t="s">
        <v>1709</v>
      </c>
      <c r="C1314" s="333"/>
      <c r="D1314" s="366" t="s">
        <v>1702</v>
      </c>
      <c r="E1314" s="198" t="s">
        <v>55</v>
      </c>
      <c r="F1314" s="281">
        <v>25</v>
      </c>
      <c r="G1314" s="229"/>
      <c r="H1314" s="230"/>
    </row>
    <row r="1315" spans="2:8">
      <c r="B1315" s="129" t="s">
        <v>1710</v>
      </c>
      <c r="C1315" s="333"/>
      <c r="D1315" s="366" t="s">
        <v>1711</v>
      </c>
      <c r="E1315" s="198" t="s">
        <v>55</v>
      </c>
      <c r="F1315" s="281">
        <v>4</v>
      </c>
      <c r="G1315" s="229"/>
      <c r="H1315" s="230"/>
    </row>
    <row r="1316" spans="2:8">
      <c r="B1316" s="129" t="s">
        <v>1712</v>
      </c>
      <c r="C1316" s="198" t="s">
        <v>1704</v>
      </c>
      <c r="D1316" s="366" t="s">
        <v>1713</v>
      </c>
      <c r="E1316" s="198" t="s">
        <v>55</v>
      </c>
      <c r="F1316" s="281">
        <v>111</v>
      </c>
      <c r="G1316" s="229"/>
      <c r="H1316" s="230"/>
    </row>
    <row r="1317" spans="2:8">
      <c r="B1317" s="129" t="s">
        <v>1714</v>
      </c>
      <c r="C1317" s="333"/>
      <c r="D1317" s="332" t="s">
        <v>1696</v>
      </c>
      <c r="E1317" s="198" t="s">
        <v>55</v>
      </c>
      <c r="F1317" s="281">
        <v>8</v>
      </c>
      <c r="G1317" s="229"/>
      <c r="H1317" s="230"/>
    </row>
    <row r="1318" spans="2:8">
      <c r="B1318" s="129" t="s">
        <v>1715</v>
      </c>
      <c r="C1318" s="198"/>
      <c r="D1318" s="330" t="s">
        <v>236</v>
      </c>
      <c r="E1318" s="331"/>
      <c r="F1318" s="287"/>
      <c r="G1318" s="243"/>
      <c r="H1318" s="242"/>
    </row>
    <row r="1319" spans="2:8" ht="38.25">
      <c r="B1319" s="129" t="s">
        <v>1716</v>
      </c>
      <c r="C1319" s="333"/>
      <c r="D1319" s="366" t="s">
        <v>1692</v>
      </c>
      <c r="E1319" s="198" t="s">
        <v>55</v>
      </c>
      <c r="F1319" s="281">
        <v>102</v>
      </c>
      <c r="G1319" s="229"/>
      <c r="H1319" s="230"/>
    </row>
    <row r="1320" spans="2:8">
      <c r="B1320" s="129" t="s">
        <v>1717</v>
      </c>
      <c r="C1320" s="333"/>
      <c r="D1320" s="366" t="s">
        <v>1702</v>
      </c>
      <c r="E1320" s="198" t="s">
        <v>55</v>
      </c>
      <c r="F1320" s="281">
        <v>137</v>
      </c>
      <c r="G1320" s="229"/>
      <c r="H1320" s="230"/>
    </row>
    <row r="1321" spans="2:8">
      <c r="B1321" s="129" t="s">
        <v>1718</v>
      </c>
      <c r="C1321" s="198" t="s">
        <v>1704</v>
      </c>
      <c r="D1321" s="366" t="s">
        <v>1713</v>
      </c>
      <c r="E1321" s="198" t="s">
        <v>55</v>
      </c>
      <c r="F1321" s="281">
        <v>81</v>
      </c>
      <c r="G1321" s="229"/>
      <c r="H1321" s="230"/>
    </row>
    <row r="1322" spans="2:8">
      <c r="B1322" s="129" t="s">
        <v>1719</v>
      </c>
      <c r="C1322" s="333"/>
      <c r="D1322" s="332" t="s">
        <v>1696</v>
      </c>
      <c r="E1322" s="198" t="s">
        <v>55</v>
      </c>
      <c r="F1322" s="281">
        <v>28</v>
      </c>
      <c r="G1322" s="229"/>
      <c r="H1322" s="230"/>
    </row>
    <row r="1323" spans="2:8">
      <c r="B1323" s="129" t="s">
        <v>1720</v>
      </c>
      <c r="C1323" s="333"/>
      <c r="D1323" s="330" t="s">
        <v>243</v>
      </c>
      <c r="E1323" s="331"/>
      <c r="F1323" s="287"/>
      <c r="G1323" s="243"/>
      <c r="H1323" s="242"/>
    </row>
    <row r="1324" spans="2:8" ht="38.25">
      <c r="B1324" s="129" t="s">
        <v>1721</v>
      </c>
      <c r="C1324" s="333"/>
      <c r="D1324" s="366" t="s">
        <v>1692</v>
      </c>
      <c r="E1324" s="198" t="s">
        <v>55</v>
      </c>
      <c r="F1324" s="281">
        <v>593</v>
      </c>
      <c r="G1324" s="229"/>
      <c r="H1324" s="244"/>
    </row>
    <row r="1325" spans="2:8">
      <c r="B1325" s="129" t="s">
        <v>1722</v>
      </c>
      <c r="C1325" s="333"/>
      <c r="D1325" s="366" t="s">
        <v>1702</v>
      </c>
      <c r="E1325" s="198" t="s">
        <v>55</v>
      </c>
      <c r="F1325" s="281">
        <v>8</v>
      </c>
      <c r="G1325" s="229"/>
      <c r="H1325" s="244"/>
    </row>
    <row r="1326" spans="2:8">
      <c r="B1326" s="129" t="s">
        <v>1723</v>
      </c>
      <c r="C1326" s="333"/>
      <c r="D1326" s="366" t="s">
        <v>1713</v>
      </c>
      <c r="E1326" s="198" t="s">
        <v>55</v>
      </c>
      <c r="F1326" s="281">
        <v>25</v>
      </c>
      <c r="G1326" s="229"/>
      <c r="H1326" s="244"/>
    </row>
    <row r="1327" spans="2:8">
      <c r="B1327" s="129" t="s">
        <v>1724</v>
      </c>
      <c r="C1327" s="341"/>
      <c r="D1327" s="336" t="s">
        <v>860</v>
      </c>
      <c r="E1327" s="201"/>
      <c r="F1327" s="294"/>
      <c r="G1327" s="247"/>
      <c r="H1327" s="248"/>
    </row>
    <row r="1328" spans="2:8">
      <c r="B1328" s="129" t="s">
        <v>1725</v>
      </c>
      <c r="C1328" s="333"/>
      <c r="D1328" s="366" t="s">
        <v>1711</v>
      </c>
      <c r="E1328" s="198" t="s">
        <v>55</v>
      </c>
      <c r="F1328" s="281">
        <v>46</v>
      </c>
      <c r="G1328" s="229"/>
      <c r="H1328" s="230"/>
    </row>
    <row r="1329" spans="2:8">
      <c r="B1329" s="129" t="s">
        <v>1726</v>
      </c>
      <c r="C1329" s="198" t="s">
        <v>1704</v>
      </c>
      <c r="D1329" s="366" t="s">
        <v>1713</v>
      </c>
      <c r="E1329" s="198" t="s">
        <v>55</v>
      </c>
      <c r="F1329" s="281">
        <v>1814</v>
      </c>
      <c r="G1329" s="229"/>
      <c r="H1329" s="230"/>
    </row>
    <row r="1330" spans="2:8">
      <c r="B1330" s="129" t="s">
        <v>1727</v>
      </c>
      <c r="C1330" s="333"/>
      <c r="D1330" s="332" t="s">
        <v>1696</v>
      </c>
      <c r="E1330" s="198" t="s">
        <v>55</v>
      </c>
      <c r="F1330" s="281">
        <v>16</v>
      </c>
      <c r="G1330" s="229"/>
      <c r="H1330" s="230"/>
    </row>
    <row r="1331" spans="2:8">
      <c r="B1331" s="129" t="s">
        <v>1728</v>
      </c>
      <c r="C1331" s="341"/>
      <c r="D1331" s="336" t="s">
        <v>1698</v>
      </c>
      <c r="E1331" s="201"/>
      <c r="F1331" s="294"/>
      <c r="G1331" s="247"/>
      <c r="H1331" s="248"/>
    </row>
    <row r="1332" spans="2:8" ht="38.25">
      <c r="B1332" s="129" t="s">
        <v>1729</v>
      </c>
      <c r="C1332" s="333"/>
      <c r="D1332" s="366" t="s">
        <v>1692</v>
      </c>
      <c r="E1332" s="198" t="s">
        <v>55</v>
      </c>
      <c r="F1332" s="281">
        <v>73</v>
      </c>
      <c r="G1332" s="229"/>
      <c r="H1332" s="230"/>
    </row>
    <row r="1333" spans="2:8">
      <c r="B1333" s="129" t="s">
        <v>1730</v>
      </c>
      <c r="C1333" s="333"/>
      <c r="D1333" s="366" t="s">
        <v>1702</v>
      </c>
      <c r="E1333" s="198" t="s">
        <v>55</v>
      </c>
      <c r="F1333" s="281">
        <v>143</v>
      </c>
      <c r="G1333" s="229"/>
      <c r="H1333" s="230"/>
    </row>
    <row r="1334" spans="2:8">
      <c r="B1334" s="129" t="s">
        <v>1731</v>
      </c>
      <c r="C1334" s="333"/>
      <c r="D1334" s="366" t="s">
        <v>1713</v>
      </c>
      <c r="E1334" s="198" t="s">
        <v>55</v>
      </c>
      <c r="F1334" s="281">
        <v>415</v>
      </c>
      <c r="G1334" s="229"/>
      <c r="H1334" s="230"/>
    </row>
    <row r="1335" spans="2:8">
      <c r="B1335" s="129" t="s">
        <v>1732</v>
      </c>
      <c r="C1335" s="333"/>
      <c r="D1335" s="332" t="s">
        <v>1696</v>
      </c>
      <c r="E1335" s="198" t="s">
        <v>55</v>
      </c>
      <c r="F1335" s="281">
        <v>60</v>
      </c>
      <c r="G1335" s="229"/>
      <c r="H1335" s="230"/>
    </row>
    <row r="1336" spans="2:8">
      <c r="B1336" s="129" t="s">
        <v>1733</v>
      </c>
      <c r="C1336" s="341"/>
      <c r="D1336" s="336" t="s">
        <v>1734</v>
      </c>
      <c r="E1336" s="201"/>
      <c r="F1336" s="294"/>
      <c r="G1336" s="247"/>
      <c r="H1336" s="248"/>
    </row>
    <row r="1337" spans="2:8" ht="38.25">
      <c r="B1337" s="129" t="s">
        <v>1735</v>
      </c>
      <c r="C1337" s="333"/>
      <c r="D1337" s="366" t="s">
        <v>1692</v>
      </c>
      <c r="E1337" s="198" t="s">
        <v>55</v>
      </c>
      <c r="F1337" s="281">
        <v>32</v>
      </c>
      <c r="G1337" s="229"/>
      <c r="H1337" s="244"/>
    </row>
    <row r="1338" spans="2:8">
      <c r="B1338" s="129" t="s">
        <v>1736</v>
      </c>
      <c r="C1338" s="333"/>
      <c r="D1338" s="366" t="s">
        <v>1702</v>
      </c>
      <c r="E1338" s="198" t="s">
        <v>55</v>
      </c>
      <c r="F1338" s="281">
        <v>65</v>
      </c>
      <c r="G1338" s="229"/>
      <c r="H1338" s="244"/>
    </row>
    <row r="1339" spans="2:8">
      <c r="B1339" s="129" t="s">
        <v>1737</v>
      </c>
      <c r="C1339" s="333"/>
      <c r="D1339" s="366" t="s">
        <v>1738</v>
      </c>
      <c r="E1339" s="198" t="s">
        <v>55</v>
      </c>
      <c r="F1339" s="281">
        <v>11</v>
      </c>
      <c r="G1339" s="229"/>
      <c r="H1339" s="244"/>
    </row>
    <row r="1340" spans="2:8">
      <c r="B1340" s="129" t="s">
        <v>1739</v>
      </c>
      <c r="C1340" s="198" t="s">
        <v>1704</v>
      </c>
      <c r="D1340" s="366" t="s">
        <v>1713</v>
      </c>
      <c r="E1340" s="198" t="s">
        <v>55</v>
      </c>
      <c r="F1340" s="281">
        <v>4</v>
      </c>
      <c r="G1340" s="229"/>
      <c r="H1340" s="244"/>
    </row>
    <row r="1341" spans="2:8">
      <c r="B1341" s="129" t="s">
        <v>1740</v>
      </c>
      <c r="C1341" s="333"/>
      <c r="D1341" s="332" t="s">
        <v>1696</v>
      </c>
      <c r="E1341" s="198" t="s">
        <v>55</v>
      </c>
      <c r="F1341" s="287">
        <v>63</v>
      </c>
      <c r="G1341" s="243"/>
      <c r="H1341" s="244"/>
    </row>
    <row r="1342" spans="2:8">
      <c r="B1342" s="129" t="s">
        <v>1741</v>
      </c>
      <c r="C1342" s="333"/>
      <c r="D1342" s="332" t="s">
        <v>1742</v>
      </c>
      <c r="E1342" s="198" t="s">
        <v>99</v>
      </c>
      <c r="F1342" s="287">
        <v>6</v>
      </c>
      <c r="G1342" s="229"/>
      <c r="H1342" s="244"/>
    </row>
    <row r="1343" spans="2:8">
      <c r="B1343" s="129" t="s">
        <v>1743</v>
      </c>
      <c r="C1343" s="333"/>
      <c r="D1343" s="332" t="s">
        <v>1744</v>
      </c>
      <c r="E1343" s="198" t="s">
        <v>99</v>
      </c>
      <c r="F1343" s="287">
        <v>12</v>
      </c>
      <c r="G1343" s="229"/>
      <c r="H1343" s="244"/>
    </row>
    <row r="1344" spans="2:8" ht="15">
      <c r="B1344" s="186" t="s">
        <v>1745</v>
      </c>
      <c r="C1344" s="312"/>
      <c r="D1344" s="313" t="s">
        <v>224</v>
      </c>
      <c r="E1344" s="314"/>
      <c r="F1344" s="283"/>
      <c r="G1344" s="233"/>
      <c r="H1344" s="234"/>
    </row>
    <row r="1345" spans="2:8">
      <c r="B1345" s="183" t="s">
        <v>1746</v>
      </c>
      <c r="C1345" s="333"/>
      <c r="D1345" s="334" t="s">
        <v>679</v>
      </c>
      <c r="E1345" s="331"/>
      <c r="F1345" s="291"/>
      <c r="G1345" s="243"/>
      <c r="H1345" s="242"/>
    </row>
    <row r="1346" spans="2:8" ht="38.25">
      <c r="B1346" s="183" t="s">
        <v>1747</v>
      </c>
      <c r="C1346" s="198"/>
      <c r="D1346" s="366" t="s">
        <v>1692</v>
      </c>
      <c r="E1346" s="198" t="s">
        <v>55</v>
      </c>
      <c r="F1346" s="303">
        <v>247</v>
      </c>
      <c r="G1346" s="229"/>
      <c r="H1346" s="235"/>
    </row>
    <row r="1347" spans="2:8">
      <c r="B1347" s="183" t="s">
        <v>1748</v>
      </c>
      <c r="C1347" s="198"/>
      <c r="D1347" s="366" t="s">
        <v>1702</v>
      </c>
      <c r="E1347" s="198" t="s">
        <v>55</v>
      </c>
      <c r="F1347" s="303">
        <v>295</v>
      </c>
      <c r="G1347" s="229"/>
      <c r="H1347" s="235"/>
    </row>
    <row r="1348" spans="2:8">
      <c r="B1348" s="183" t="s">
        <v>1749</v>
      </c>
      <c r="C1348" s="198"/>
      <c r="D1348" s="366" t="s">
        <v>1713</v>
      </c>
      <c r="E1348" s="198" t="s">
        <v>55</v>
      </c>
      <c r="F1348" s="281">
        <v>36</v>
      </c>
      <c r="G1348" s="229"/>
      <c r="H1348" s="230"/>
    </row>
    <row r="1349" spans="2:8">
      <c r="B1349" s="183" t="s">
        <v>1750</v>
      </c>
      <c r="C1349" s="198"/>
      <c r="D1349" s="332" t="s">
        <v>1696</v>
      </c>
      <c r="E1349" s="198" t="s">
        <v>209</v>
      </c>
      <c r="F1349" s="281">
        <v>47</v>
      </c>
      <c r="G1349" s="229"/>
      <c r="H1349" s="230"/>
    </row>
    <row r="1350" spans="2:8">
      <c r="B1350" s="183" t="s">
        <v>1751</v>
      </c>
      <c r="C1350" s="333"/>
      <c r="D1350" s="334" t="s">
        <v>264</v>
      </c>
      <c r="E1350" s="331"/>
      <c r="F1350" s="291"/>
      <c r="G1350" s="243"/>
      <c r="H1350" s="242"/>
    </row>
    <row r="1351" spans="2:8" ht="38.25">
      <c r="B1351" s="183" t="s">
        <v>1752</v>
      </c>
      <c r="C1351" s="198"/>
      <c r="D1351" s="366" t="s">
        <v>1692</v>
      </c>
      <c r="E1351" s="198" t="s">
        <v>55</v>
      </c>
      <c r="F1351" s="303">
        <v>573</v>
      </c>
      <c r="G1351" s="229"/>
      <c r="H1351" s="235"/>
    </row>
    <row r="1352" spans="2:8">
      <c r="B1352" s="183" t="s">
        <v>1753</v>
      </c>
      <c r="C1352" s="198"/>
      <c r="D1352" s="366" t="s">
        <v>1702</v>
      </c>
      <c r="E1352" s="198" t="s">
        <v>55</v>
      </c>
      <c r="F1352" s="303">
        <v>107</v>
      </c>
      <c r="G1352" s="229"/>
      <c r="H1352" s="235"/>
    </row>
    <row r="1353" spans="2:8">
      <c r="B1353" s="183" t="s">
        <v>1754</v>
      </c>
      <c r="C1353" s="198" t="s">
        <v>1704</v>
      </c>
      <c r="D1353" s="366" t="s">
        <v>1713</v>
      </c>
      <c r="E1353" s="198" t="s">
        <v>55</v>
      </c>
      <c r="F1353" s="281">
        <v>21</v>
      </c>
      <c r="G1353" s="229"/>
      <c r="H1353" s="230"/>
    </row>
    <row r="1354" spans="2:8">
      <c r="B1354" s="183" t="s">
        <v>1755</v>
      </c>
      <c r="C1354" s="198"/>
      <c r="D1354" s="332" t="s">
        <v>1696</v>
      </c>
      <c r="E1354" s="342" t="s">
        <v>209</v>
      </c>
      <c r="F1354" s="281">
        <v>52</v>
      </c>
      <c r="G1354" s="229"/>
      <c r="H1354" s="230"/>
    </row>
    <row r="1355" spans="2:8">
      <c r="B1355" s="183" t="s">
        <v>1756</v>
      </c>
      <c r="C1355" s="333"/>
      <c r="D1355" s="334" t="s">
        <v>272</v>
      </c>
      <c r="E1355" s="331"/>
      <c r="F1355" s="291"/>
      <c r="G1355" s="243"/>
      <c r="H1355" s="242"/>
    </row>
    <row r="1356" spans="2:8" ht="38.25">
      <c r="B1356" s="183" t="s">
        <v>1757</v>
      </c>
      <c r="C1356" s="198"/>
      <c r="D1356" s="366" t="s">
        <v>1692</v>
      </c>
      <c r="E1356" s="198" t="s">
        <v>55</v>
      </c>
      <c r="F1356" s="303">
        <v>551</v>
      </c>
      <c r="G1356" s="229"/>
      <c r="H1356" s="235"/>
    </row>
    <row r="1357" spans="2:8">
      <c r="B1357" s="183" t="s">
        <v>1758</v>
      </c>
      <c r="C1357" s="198" t="s">
        <v>1704</v>
      </c>
      <c r="D1357" s="366" t="s">
        <v>1713</v>
      </c>
      <c r="E1357" s="198" t="s">
        <v>55</v>
      </c>
      <c r="F1357" s="281">
        <v>46</v>
      </c>
      <c r="G1357" s="229"/>
      <c r="H1357" s="230"/>
    </row>
    <row r="1358" spans="2:8">
      <c r="B1358" s="183" t="s">
        <v>1759</v>
      </c>
      <c r="C1358" s="333"/>
      <c r="D1358" s="334" t="s">
        <v>279</v>
      </c>
      <c r="E1358" s="331"/>
      <c r="F1358" s="287"/>
      <c r="G1358" s="243"/>
      <c r="H1358" s="242"/>
    </row>
    <row r="1359" spans="2:8" ht="38.25">
      <c r="B1359" s="183" t="s">
        <v>1760</v>
      </c>
      <c r="C1359" s="198"/>
      <c r="D1359" s="366" t="s">
        <v>1692</v>
      </c>
      <c r="E1359" s="198" t="s">
        <v>55</v>
      </c>
      <c r="F1359" s="281">
        <v>551</v>
      </c>
      <c r="G1359" s="229"/>
      <c r="H1359" s="235"/>
    </row>
    <row r="1360" spans="2:8">
      <c r="B1360" s="183" t="s">
        <v>1761</v>
      </c>
      <c r="C1360" s="198" t="s">
        <v>1704</v>
      </c>
      <c r="D1360" s="366" t="s">
        <v>1713</v>
      </c>
      <c r="E1360" s="198" t="s">
        <v>55</v>
      </c>
      <c r="F1360" s="281">
        <v>46</v>
      </c>
      <c r="G1360" s="229"/>
      <c r="H1360" s="230"/>
    </row>
    <row r="1361" spans="2:8">
      <c r="B1361" s="183" t="s">
        <v>1762</v>
      </c>
      <c r="C1361" s="333"/>
      <c r="D1361" s="334" t="s">
        <v>286</v>
      </c>
      <c r="E1361" s="331"/>
      <c r="F1361" s="287"/>
      <c r="G1361" s="243"/>
      <c r="H1361" s="242"/>
    </row>
    <row r="1362" spans="2:8" ht="38.25">
      <c r="B1362" s="183" t="s">
        <v>1763</v>
      </c>
      <c r="C1362" s="198"/>
      <c r="D1362" s="366" t="s">
        <v>1692</v>
      </c>
      <c r="E1362" s="198" t="s">
        <v>55</v>
      </c>
      <c r="F1362" s="281">
        <v>551</v>
      </c>
      <c r="G1362" s="229"/>
      <c r="H1362" s="235"/>
    </row>
    <row r="1363" spans="2:8">
      <c r="B1363" s="183" t="s">
        <v>1764</v>
      </c>
      <c r="C1363" s="198" t="s">
        <v>1704</v>
      </c>
      <c r="D1363" s="366" t="s">
        <v>1713</v>
      </c>
      <c r="E1363" s="198" t="s">
        <v>55</v>
      </c>
      <c r="F1363" s="281">
        <v>46</v>
      </c>
      <c r="G1363" s="229"/>
      <c r="H1363" s="230"/>
    </row>
    <row r="1364" spans="2:8">
      <c r="B1364" s="183" t="s">
        <v>1765</v>
      </c>
      <c r="C1364" s="333"/>
      <c r="D1364" s="334" t="s">
        <v>293</v>
      </c>
      <c r="E1364" s="331"/>
      <c r="F1364" s="287"/>
      <c r="G1364" s="243"/>
      <c r="H1364" s="242"/>
    </row>
    <row r="1365" spans="2:8" ht="38.25">
      <c r="B1365" s="183" t="s">
        <v>1766</v>
      </c>
      <c r="C1365" s="198"/>
      <c r="D1365" s="366" t="s">
        <v>1692</v>
      </c>
      <c r="E1365" s="198" t="s">
        <v>55</v>
      </c>
      <c r="F1365" s="281">
        <v>568</v>
      </c>
      <c r="G1365" s="229"/>
      <c r="H1365" s="235"/>
    </row>
    <row r="1366" spans="2:8">
      <c r="B1366" s="183" t="s">
        <v>1767</v>
      </c>
      <c r="C1366" s="198" t="s">
        <v>1704</v>
      </c>
      <c r="D1366" s="366" t="s">
        <v>1713</v>
      </c>
      <c r="E1366" s="198" t="s">
        <v>55</v>
      </c>
      <c r="F1366" s="281">
        <v>28</v>
      </c>
      <c r="G1366" s="229"/>
      <c r="H1366" s="230"/>
    </row>
    <row r="1367" spans="2:8">
      <c r="B1367" s="183" t="s">
        <v>1768</v>
      </c>
      <c r="C1367" s="198"/>
      <c r="D1367" s="334" t="s">
        <v>1769</v>
      </c>
      <c r="E1367" s="331"/>
      <c r="F1367" s="287"/>
      <c r="G1367" s="243"/>
      <c r="H1367" s="242"/>
    </row>
    <row r="1368" spans="2:8" ht="38.25">
      <c r="B1368" s="183" t="s">
        <v>1770</v>
      </c>
      <c r="C1368" s="198"/>
      <c r="D1368" s="366" t="s">
        <v>1692</v>
      </c>
      <c r="E1368" s="198" t="s">
        <v>55</v>
      </c>
      <c r="F1368" s="281">
        <v>30</v>
      </c>
      <c r="G1368" s="229"/>
      <c r="H1368" s="235"/>
    </row>
    <row r="1369" spans="2:8" ht="15">
      <c r="B1369" s="186" t="s">
        <v>1771</v>
      </c>
      <c r="C1369" s="312"/>
      <c r="D1369" s="313" t="s">
        <v>236</v>
      </c>
      <c r="E1369" s="314"/>
      <c r="F1369" s="286"/>
      <c r="G1369" s="233"/>
      <c r="H1369" s="234"/>
    </row>
    <row r="1370" spans="2:8">
      <c r="B1370" s="183" t="s">
        <v>1772</v>
      </c>
      <c r="C1370" s="333"/>
      <c r="D1370" s="334" t="s">
        <v>679</v>
      </c>
      <c r="E1370" s="331"/>
      <c r="F1370" s="291"/>
      <c r="G1370" s="243"/>
      <c r="H1370" s="242"/>
    </row>
    <row r="1371" spans="2:8" ht="38.25">
      <c r="B1371" s="183" t="s">
        <v>1773</v>
      </c>
      <c r="C1371" s="198"/>
      <c r="D1371" s="366" t="s">
        <v>1692</v>
      </c>
      <c r="E1371" s="198" t="s">
        <v>55</v>
      </c>
      <c r="F1371" s="303">
        <v>94</v>
      </c>
      <c r="G1371" s="229"/>
      <c r="H1371" s="235"/>
    </row>
    <row r="1372" spans="2:8">
      <c r="B1372" s="183" t="s">
        <v>1774</v>
      </c>
      <c r="C1372" s="198"/>
      <c r="D1372" s="366" t="s">
        <v>1702</v>
      </c>
      <c r="E1372" s="198" t="s">
        <v>55</v>
      </c>
      <c r="F1372" s="303">
        <v>112</v>
      </c>
      <c r="G1372" s="229"/>
      <c r="H1372" s="235"/>
    </row>
    <row r="1373" spans="2:8">
      <c r="B1373" s="183" t="s">
        <v>1775</v>
      </c>
      <c r="C1373" s="198" t="s">
        <v>1704</v>
      </c>
      <c r="D1373" s="366" t="s">
        <v>1713</v>
      </c>
      <c r="E1373" s="198" t="s">
        <v>55</v>
      </c>
      <c r="F1373" s="281">
        <v>13</v>
      </c>
      <c r="G1373" s="229"/>
      <c r="H1373" s="230"/>
    </row>
    <row r="1374" spans="2:8">
      <c r="B1374" s="183" t="s">
        <v>1776</v>
      </c>
      <c r="C1374" s="198"/>
      <c r="D1374" s="366" t="s">
        <v>1696</v>
      </c>
      <c r="E1374" s="198" t="s">
        <v>55</v>
      </c>
      <c r="F1374" s="281">
        <v>13</v>
      </c>
      <c r="G1374" s="229"/>
      <c r="H1374" s="230"/>
    </row>
    <row r="1375" spans="2:8">
      <c r="B1375" s="183" t="s">
        <v>1777</v>
      </c>
      <c r="C1375" s="333"/>
      <c r="D1375" s="334" t="s">
        <v>264</v>
      </c>
      <c r="E1375" s="331"/>
      <c r="F1375" s="291"/>
      <c r="G1375" s="243"/>
      <c r="H1375" s="242"/>
    </row>
    <row r="1376" spans="2:8" ht="38.25">
      <c r="B1376" s="183" t="s">
        <v>1778</v>
      </c>
      <c r="C1376" s="198"/>
      <c r="D1376" s="366" t="s">
        <v>1692</v>
      </c>
      <c r="E1376" s="198" t="s">
        <v>55</v>
      </c>
      <c r="F1376" s="303">
        <v>104</v>
      </c>
      <c r="G1376" s="229"/>
      <c r="H1376" s="235"/>
    </row>
    <row r="1377" spans="2:8">
      <c r="B1377" s="183" t="s">
        <v>1779</v>
      </c>
      <c r="C1377" s="198"/>
      <c r="D1377" s="366" t="s">
        <v>1702</v>
      </c>
      <c r="E1377" s="198" t="s">
        <v>55</v>
      </c>
      <c r="F1377" s="303">
        <v>112</v>
      </c>
      <c r="G1377" s="229"/>
      <c r="H1377" s="235"/>
    </row>
    <row r="1378" spans="2:8">
      <c r="B1378" s="183" t="s">
        <v>1780</v>
      </c>
      <c r="C1378" s="198" t="s">
        <v>1704</v>
      </c>
      <c r="D1378" s="366" t="s">
        <v>1713</v>
      </c>
      <c r="E1378" s="198" t="s">
        <v>209</v>
      </c>
      <c r="F1378" s="281">
        <v>13</v>
      </c>
      <c r="G1378" s="229"/>
      <c r="H1378" s="230"/>
    </row>
    <row r="1379" spans="2:8">
      <c r="B1379" s="183" t="s">
        <v>1781</v>
      </c>
      <c r="C1379" s="198"/>
      <c r="D1379" s="332" t="s">
        <v>1696</v>
      </c>
      <c r="E1379" s="342" t="s">
        <v>209</v>
      </c>
      <c r="F1379" s="281">
        <v>13</v>
      </c>
      <c r="G1379" s="229"/>
      <c r="H1379" s="230"/>
    </row>
    <row r="1380" spans="2:8">
      <c r="B1380" s="183" t="s">
        <v>1782</v>
      </c>
      <c r="C1380" s="333"/>
      <c r="D1380" s="334" t="s">
        <v>272</v>
      </c>
      <c r="E1380" s="331"/>
      <c r="F1380" s="291"/>
      <c r="G1380" s="243"/>
      <c r="H1380" s="242"/>
    </row>
    <row r="1381" spans="2:8" ht="38.25">
      <c r="B1381" s="183" t="s">
        <v>1783</v>
      </c>
      <c r="C1381" s="198"/>
      <c r="D1381" s="366" t="s">
        <v>1692</v>
      </c>
      <c r="E1381" s="198" t="s">
        <v>55</v>
      </c>
      <c r="F1381" s="303">
        <v>102</v>
      </c>
      <c r="G1381" s="229"/>
      <c r="H1381" s="235"/>
    </row>
    <row r="1382" spans="2:8">
      <c r="B1382" s="183" t="s">
        <v>1784</v>
      </c>
      <c r="C1382" s="198"/>
      <c r="D1382" s="366" t="s">
        <v>1702</v>
      </c>
      <c r="E1382" s="198" t="s">
        <v>55</v>
      </c>
      <c r="F1382" s="303">
        <v>109</v>
      </c>
      <c r="G1382" s="229"/>
      <c r="H1382" s="235"/>
    </row>
    <row r="1383" spans="2:8">
      <c r="B1383" s="183" t="s">
        <v>1785</v>
      </c>
      <c r="C1383" s="198" t="s">
        <v>1704</v>
      </c>
      <c r="D1383" s="366" t="s">
        <v>1713</v>
      </c>
      <c r="E1383" s="198" t="s">
        <v>209</v>
      </c>
      <c r="F1383" s="281">
        <v>13</v>
      </c>
      <c r="G1383" s="229"/>
      <c r="H1383" s="230"/>
    </row>
    <row r="1384" spans="2:8">
      <c r="B1384" s="183" t="s">
        <v>1786</v>
      </c>
      <c r="C1384" s="198"/>
      <c r="D1384" s="332" t="s">
        <v>1696</v>
      </c>
      <c r="E1384" s="342" t="s">
        <v>209</v>
      </c>
      <c r="F1384" s="281">
        <v>8</v>
      </c>
      <c r="G1384" s="229"/>
      <c r="H1384" s="230"/>
    </row>
    <row r="1385" spans="2:8">
      <c r="B1385" s="183" t="s">
        <v>1787</v>
      </c>
      <c r="C1385" s="333"/>
      <c r="D1385" s="334" t="s">
        <v>279</v>
      </c>
      <c r="E1385" s="331"/>
      <c r="F1385" s="287"/>
      <c r="G1385" s="243"/>
      <c r="H1385" s="242"/>
    </row>
    <row r="1386" spans="2:8" ht="38.25">
      <c r="B1386" s="183" t="s">
        <v>1788</v>
      </c>
      <c r="C1386" s="198"/>
      <c r="D1386" s="366" t="s">
        <v>1692</v>
      </c>
      <c r="E1386" s="198" t="s">
        <v>55</v>
      </c>
      <c r="F1386" s="303">
        <v>102</v>
      </c>
      <c r="G1386" s="229"/>
      <c r="H1386" s="235"/>
    </row>
    <row r="1387" spans="2:8">
      <c r="B1387" s="183" t="s">
        <v>1789</v>
      </c>
      <c r="C1387" s="198"/>
      <c r="D1387" s="366" t="s">
        <v>1702</v>
      </c>
      <c r="E1387" s="198" t="s">
        <v>55</v>
      </c>
      <c r="F1387" s="303">
        <v>109</v>
      </c>
      <c r="G1387" s="229"/>
      <c r="H1387" s="235"/>
    </row>
    <row r="1388" spans="2:8">
      <c r="B1388" s="183" t="s">
        <v>1790</v>
      </c>
      <c r="C1388" s="198" t="s">
        <v>1704</v>
      </c>
      <c r="D1388" s="366" t="s">
        <v>1713</v>
      </c>
      <c r="E1388" s="198" t="s">
        <v>209</v>
      </c>
      <c r="F1388" s="281">
        <v>13</v>
      </c>
      <c r="G1388" s="229"/>
      <c r="H1388" s="230"/>
    </row>
    <row r="1389" spans="2:8">
      <c r="B1389" s="183" t="s">
        <v>1791</v>
      </c>
      <c r="C1389" s="198"/>
      <c r="D1389" s="332" t="s">
        <v>1696</v>
      </c>
      <c r="E1389" s="342" t="s">
        <v>209</v>
      </c>
      <c r="F1389" s="281">
        <v>8</v>
      </c>
      <c r="G1389" s="229"/>
      <c r="H1389" s="230"/>
    </row>
    <row r="1390" spans="2:8">
      <c r="B1390" s="183" t="s">
        <v>1792</v>
      </c>
      <c r="C1390" s="333"/>
      <c r="D1390" s="334" t="s">
        <v>286</v>
      </c>
      <c r="E1390" s="331"/>
      <c r="F1390" s="287"/>
      <c r="G1390" s="243"/>
      <c r="H1390" s="242"/>
    </row>
    <row r="1391" spans="2:8" ht="38.25">
      <c r="B1391" s="183" t="s">
        <v>1793</v>
      </c>
      <c r="C1391" s="198"/>
      <c r="D1391" s="366" t="s">
        <v>1692</v>
      </c>
      <c r="E1391" s="343" t="s">
        <v>55</v>
      </c>
      <c r="F1391" s="303">
        <v>102</v>
      </c>
      <c r="G1391" s="273"/>
      <c r="H1391" s="235"/>
    </row>
    <row r="1392" spans="2:8">
      <c r="B1392" s="183" t="s">
        <v>1794</v>
      </c>
      <c r="C1392" s="198"/>
      <c r="D1392" s="366" t="s">
        <v>1702</v>
      </c>
      <c r="E1392" s="343" t="s">
        <v>55</v>
      </c>
      <c r="F1392" s="303">
        <v>109</v>
      </c>
      <c r="G1392" s="273"/>
      <c r="H1392" s="235"/>
    </row>
    <row r="1393" spans="2:8">
      <c r="B1393" s="183" t="s">
        <v>1795</v>
      </c>
      <c r="C1393" s="198" t="s">
        <v>1704</v>
      </c>
      <c r="D1393" s="366" t="s">
        <v>1713</v>
      </c>
      <c r="E1393" s="343" t="s">
        <v>209</v>
      </c>
      <c r="F1393" s="281">
        <v>13</v>
      </c>
      <c r="G1393" s="273"/>
      <c r="H1393" s="230"/>
    </row>
    <row r="1394" spans="2:8">
      <c r="B1394" s="183" t="s">
        <v>1796</v>
      </c>
      <c r="C1394" s="198"/>
      <c r="D1394" s="332" t="s">
        <v>1696</v>
      </c>
      <c r="E1394" s="342" t="s">
        <v>209</v>
      </c>
      <c r="F1394" s="281">
        <v>8</v>
      </c>
      <c r="G1394" s="243"/>
      <c r="H1394" s="244"/>
    </row>
    <row r="1395" spans="2:8">
      <c r="B1395" s="183" t="s">
        <v>1797</v>
      </c>
      <c r="C1395" s="333"/>
      <c r="D1395" s="334" t="s">
        <v>293</v>
      </c>
      <c r="E1395" s="331"/>
      <c r="F1395" s="287"/>
      <c r="G1395" s="243"/>
      <c r="H1395" s="242"/>
    </row>
    <row r="1396" spans="2:8" ht="38.25">
      <c r="B1396" s="183" t="s">
        <v>1798</v>
      </c>
      <c r="C1396" s="198"/>
      <c r="D1396" s="366" t="s">
        <v>1692</v>
      </c>
      <c r="E1396" s="198" t="s">
        <v>55</v>
      </c>
      <c r="F1396" s="303">
        <v>102</v>
      </c>
      <c r="G1396" s="229"/>
      <c r="H1396" s="235"/>
    </row>
    <row r="1397" spans="2:8">
      <c r="B1397" s="183" t="s">
        <v>1799</v>
      </c>
      <c r="C1397" s="198"/>
      <c r="D1397" s="366" t="s">
        <v>1702</v>
      </c>
      <c r="E1397" s="198" t="s">
        <v>55</v>
      </c>
      <c r="F1397" s="303">
        <v>109</v>
      </c>
      <c r="G1397" s="229"/>
      <c r="H1397" s="235"/>
    </row>
    <row r="1398" spans="2:8">
      <c r="B1398" s="183" t="s">
        <v>1800</v>
      </c>
      <c r="C1398" s="198" t="s">
        <v>1704</v>
      </c>
      <c r="D1398" s="366" t="s">
        <v>1713</v>
      </c>
      <c r="E1398" s="198" t="s">
        <v>209</v>
      </c>
      <c r="F1398" s="281">
        <v>13</v>
      </c>
      <c r="G1398" s="229"/>
      <c r="H1398" s="230"/>
    </row>
    <row r="1399" spans="2:8">
      <c r="B1399" s="183" t="s">
        <v>1801</v>
      </c>
      <c r="C1399" s="198"/>
      <c r="D1399" s="332" t="s">
        <v>1696</v>
      </c>
      <c r="E1399" s="342" t="s">
        <v>209</v>
      </c>
      <c r="F1399" s="281">
        <v>8</v>
      </c>
      <c r="G1399" s="243"/>
      <c r="H1399" s="244"/>
    </row>
    <row r="1400" spans="2:8">
      <c r="B1400" s="183" t="s">
        <v>1802</v>
      </c>
      <c r="C1400" s="198"/>
      <c r="D1400" s="334" t="s">
        <v>1769</v>
      </c>
      <c r="E1400" s="331"/>
      <c r="F1400" s="287"/>
      <c r="G1400" s="243"/>
      <c r="H1400" s="242"/>
    </row>
    <row r="1401" spans="2:8" ht="38.25">
      <c r="B1401" s="183" t="s">
        <v>1803</v>
      </c>
      <c r="C1401" s="198"/>
      <c r="D1401" s="366" t="s">
        <v>1692</v>
      </c>
      <c r="E1401" s="198" t="s">
        <v>55</v>
      </c>
      <c r="F1401" s="281">
        <v>188</v>
      </c>
      <c r="G1401" s="229"/>
      <c r="H1401" s="235"/>
    </row>
    <row r="1402" spans="2:8">
      <c r="B1402" s="183" t="s">
        <v>1804</v>
      </c>
      <c r="C1402" s="198"/>
      <c r="D1402" s="366" t="s">
        <v>1702</v>
      </c>
      <c r="E1402" s="198" t="s">
        <v>55</v>
      </c>
      <c r="F1402" s="303">
        <v>38</v>
      </c>
      <c r="G1402" s="229"/>
      <c r="H1402" s="235"/>
    </row>
    <row r="1403" spans="2:8">
      <c r="B1403" s="183" t="s">
        <v>1805</v>
      </c>
      <c r="C1403" s="198"/>
      <c r="D1403" s="366" t="s">
        <v>1713</v>
      </c>
      <c r="E1403" s="198" t="s">
        <v>209</v>
      </c>
      <c r="F1403" s="281">
        <v>57</v>
      </c>
      <c r="G1403" s="229"/>
      <c r="H1403" s="230"/>
    </row>
    <row r="1404" spans="2:8">
      <c r="B1404" s="183" t="s">
        <v>1806</v>
      </c>
      <c r="C1404" s="198"/>
      <c r="D1404" s="332" t="s">
        <v>1696</v>
      </c>
      <c r="E1404" s="342" t="s">
        <v>209</v>
      </c>
      <c r="F1404" s="281">
        <v>26</v>
      </c>
      <c r="G1404" s="243"/>
      <c r="H1404" s="244"/>
    </row>
    <row r="1405" spans="2:8">
      <c r="B1405" s="183" t="s">
        <v>1807</v>
      </c>
      <c r="C1405" s="198"/>
      <c r="D1405" s="366" t="s">
        <v>1808</v>
      </c>
      <c r="E1405" s="342" t="s">
        <v>99</v>
      </c>
      <c r="F1405" s="281">
        <v>1</v>
      </c>
      <c r="G1405" s="229"/>
      <c r="H1405" s="230"/>
    </row>
    <row r="1406" spans="2:8" ht="15">
      <c r="B1406" s="186" t="s">
        <v>1809</v>
      </c>
      <c r="C1406" s="312"/>
      <c r="D1406" s="313" t="s">
        <v>243</v>
      </c>
      <c r="E1406" s="314"/>
      <c r="F1406" s="286"/>
      <c r="G1406" s="233"/>
      <c r="H1406" s="234"/>
    </row>
    <row r="1407" spans="2:8">
      <c r="B1407" s="183" t="s">
        <v>1810</v>
      </c>
      <c r="C1407" s="333"/>
      <c r="D1407" s="334" t="s">
        <v>679</v>
      </c>
      <c r="E1407" s="331"/>
      <c r="F1407" s="291"/>
      <c r="G1407" s="243"/>
      <c r="H1407" s="242"/>
    </row>
    <row r="1408" spans="2:8" ht="38.25">
      <c r="B1408" s="183" t="s">
        <v>1811</v>
      </c>
      <c r="C1408" s="198"/>
      <c r="D1408" s="366" t="s">
        <v>1692</v>
      </c>
      <c r="E1408" s="343" t="s">
        <v>55</v>
      </c>
      <c r="F1408" s="281">
        <v>570</v>
      </c>
      <c r="G1408" s="273"/>
      <c r="H1408" s="235"/>
    </row>
    <row r="1409" spans="2:8">
      <c r="B1409" s="183" t="s">
        <v>1812</v>
      </c>
      <c r="C1409" s="198"/>
      <c r="D1409" s="366" t="s">
        <v>1702</v>
      </c>
      <c r="E1409" s="343" t="s">
        <v>55</v>
      </c>
      <c r="F1409" s="281">
        <v>11</v>
      </c>
      <c r="G1409" s="273"/>
      <c r="H1409" s="235"/>
    </row>
    <row r="1410" spans="2:8">
      <c r="B1410" s="183" t="s">
        <v>1813</v>
      </c>
      <c r="C1410" s="198"/>
      <c r="D1410" s="366" t="s">
        <v>1711</v>
      </c>
      <c r="E1410" s="343" t="s">
        <v>55</v>
      </c>
      <c r="F1410" s="281">
        <v>10</v>
      </c>
      <c r="G1410" s="273"/>
      <c r="H1410" s="235"/>
    </row>
    <row r="1411" spans="2:8">
      <c r="B1411" s="183" t="s">
        <v>1814</v>
      </c>
      <c r="C1411" s="198" t="s">
        <v>1704</v>
      </c>
      <c r="D1411" s="366" t="s">
        <v>1713</v>
      </c>
      <c r="E1411" s="343" t="s">
        <v>55</v>
      </c>
      <c r="F1411" s="281">
        <v>5</v>
      </c>
      <c r="G1411" s="273"/>
      <c r="H1411" s="230"/>
    </row>
    <row r="1412" spans="2:8">
      <c r="B1412" s="183" t="s">
        <v>1815</v>
      </c>
      <c r="C1412" s="198"/>
      <c r="D1412" s="332" t="s">
        <v>1696</v>
      </c>
      <c r="E1412" s="342" t="s">
        <v>209</v>
      </c>
      <c r="F1412" s="281">
        <v>8</v>
      </c>
      <c r="G1412" s="273"/>
      <c r="H1412" s="230"/>
    </row>
    <row r="1413" spans="2:8">
      <c r="B1413" s="183" t="s">
        <v>1816</v>
      </c>
      <c r="C1413" s="333"/>
      <c r="D1413" s="334" t="s">
        <v>264</v>
      </c>
      <c r="E1413" s="331"/>
      <c r="F1413" s="290"/>
      <c r="G1413" s="243"/>
      <c r="H1413" s="242"/>
    </row>
    <row r="1414" spans="2:8" ht="38.25">
      <c r="B1414" s="183" t="s">
        <v>1817</v>
      </c>
      <c r="C1414" s="198"/>
      <c r="D1414" s="366" t="s">
        <v>1692</v>
      </c>
      <c r="E1414" s="343" t="s">
        <v>55</v>
      </c>
      <c r="F1414" s="281">
        <v>574</v>
      </c>
      <c r="G1414" s="273"/>
      <c r="H1414" s="235"/>
    </row>
    <row r="1415" spans="2:8">
      <c r="B1415" s="183" t="s">
        <v>1818</v>
      </c>
      <c r="C1415" s="198" t="s">
        <v>1704</v>
      </c>
      <c r="D1415" s="366" t="s">
        <v>1713</v>
      </c>
      <c r="E1415" s="343" t="s">
        <v>209</v>
      </c>
      <c r="F1415" s="281">
        <v>25</v>
      </c>
      <c r="G1415" s="273"/>
      <c r="H1415" s="230"/>
    </row>
    <row r="1416" spans="2:8">
      <c r="B1416" s="183" t="s">
        <v>1819</v>
      </c>
      <c r="C1416" s="198"/>
      <c r="D1416" s="332" t="s">
        <v>1696</v>
      </c>
      <c r="E1416" s="342" t="s">
        <v>209</v>
      </c>
      <c r="F1416" s="281">
        <v>8</v>
      </c>
      <c r="G1416" s="273"/>
      <c r="H1416" s="230"/>
    </row>
    <row r="1417" spans="2:8">
      <c r="B1417" s="183" t="s">
        <v>1820</v>
      </c>
      <c r="C1417" s="333"/>
      <c r="D1417" s="334" t="s">
        <v>272</v>
      </c>
      <c r="E1417" s="331"/>
      <c r="F1417" s="290"/>
      <c r="G1417" s="243"/>
      <c r="H1417" s="242"/>
    </row>
    <row r="1418" spans="2:8" ht="38.25">
      <c r="B1418" s="183" t="s">
        <v>1821</v>
      </c>
      <c r="C1418" s="198"/>
      <c r="D1418" s="366" t="s">
        <v>1692</v>
      </c>
      <c r="E1418" s="343" t="s">
        <v>55</v>
      </c>
      <c r="F1418" s="304">
        <v>573</v>
      </c>
      <c r="G1418" s="273"/>
      <c r="H1418" s="235"/>
    </row>
    <row r="1419" spans="2:8">
      <c r="B1419" s="183" t="s">
        <v>1822</v>
      </c>
      <c r="C1419" s="198" t="s">
        <v>1704</v>
      </c>
      <c r="D1419" s="366" t="s">
        <v>1713</v>
      </c>
      <c r="E1419" s="343" t="s">
        <v>209</v>
      </c>
      <c r="F1419" s="304">
        <v>25</v>
      </c>
      <c r="G1419" s="273"/>
      <c r="H1419" s="230"/>
    </row>
    <row r="1420" spans="2:8">
      <c r="B1420" s="183" t="s">
        <v>1823</v>
      </c>
      <c r="C1420" s="333"/>
      <c r="D1420" s="334" t="s">
        <v>279</v>
      </c>
      <c r="E1420" s="331"/>
      <c r="F1420" s="281"/>
      <c r="G1420" s="243"/>
      <c r="H1420" s="242"/>
    </row>
    <row r="1421" spans="2:8" ht="38.25">
      <c r="B1421" s="183" t="s">
        <v>1824</v>
      </c>
      <c r="C1421" s="198"/>
      <c r="D1421" s="366" t="s">
        <v>1692</v>
      </c>
      <c r="E1421" s="343" t="s">
        <v>55</v>
      </c>
      <c r="F1421" s="281">
        <v>573</v>
      </c>
      <c r="G1421" s="273"/>
      <c r="H1421" s="235"/>
    </row>
    <row r="1422" spans="2:8">
      <c r="B1422" s="183" t="s">
        <v>1825</v>
      </c>
      <c r="C1422" s="198" t="s">
        <v>1704</v>
      </c>
      <c r="D1422" s="366" t="s">
        <v>1713</v>
      </c>
      <c r="E1422" s="343" t="s">
        <v>209</v>
      </c>
      <c r="F1422" s="281">
        <v>25</v>
      </c>
      <c r="G1422" s="273"/>
      <c r="H1422" s="230"/>
    </row>
    <row r="1423" spans="2:8">
      <c r="B1423" s="183" t="s">
        <v>1826</v>
      </c>
      <c r="C1423" s="333"/>
      <c r="D1423" s="334" t="s">
        <v>286</v>
      </c>
      <c r="E1423" s="331"/>
      <c r="F1423" s="281"/>
      <c r="G1423" s="243"/>
      <c r="H1423" s="242"/>
    </row>
    <row r="1424" spans="2:8" ht="38.25">
      <c r="B1424" s="183" t="s">
        <v>1827</v>
      </c>
      <c r="C1424" s="198"/>
      <c r="D1424" s="366" t="s">
        <v>1692</v>
      </c>
      <c r="E1424" s="343" t="s">
        <v>55</v>
      </c>
      <c r="F1424" s="281">
        <v>32</v>
      </c>
      <c r="G1424" s="273"/>
      <c r="H1424" s="235"/>
    </row>
    <row r="1425" spans="2:8">
      <c r="B1425" s="183" t="s">
        <v>1828</v>
      </c>
      <c r="C1425" s="198"/>
      <c r="D1425" s="366" t="s">
        <v>1702</v>
      </c>
      <c r="E1425" s="343" t="s">
        <v>55</v>
      </c>
      <c r="F1425" s="281">
        <v>44</v>
      </c>
      <c r="G1425" s="273"/>
      <c r="H1425" s="235"/>
    </row>
    <row r="1426" spans="2:8">
      <c r="B1426" s="183" t="s">
        <v>1829</v>
      </c>
      <c r="C1426" s="198"/>
      <c r="D1426" s="332" t="s">
        <v>1696</v>
      </c>
      <c r="E1426" s="342" t="s">
        <v>209</v>
      </c>
      <c r="F1426" s="281">
        <v>10</v>
      </c>
      <c r="G1426" s="273"/>
      <c r="H1426" s="235"/>
    </row>
    <row r="1427" spans="2:8" ht="15">
      <c r="B1427" s="186" t="s">
        <v>1830</v>
      </c>
      <c r="C1427" s="312"/>
      <c r="D1427" s="313" t="s">
        <v>1698</v>
      </c>
      <c r="E1427" s="314"/>
      <c r="F1427" s="286"/>
      <c r="G1427" s="233"/>
      <c r="H1427" s="234"/>
    </row>
    <row r="1428" spans="2:8">
      <c r="B1428" s="183" t="s">
        <v>1831</v>
      </c>
      <c r="C1428" s="333"/>
      <c r="D1428" s="334" t="s">
        <v>679</v>
      </c>
      <c r="E1428" s="331"/>
      <c r="F1428" s="291"/>
      <c r="G1428" s="243"/>
      <c r="H1428" s="242"/>
    </row>
    <row r="1429" spans="2:8" ht="38.25">
      <c r="B1429" s="183" t="s">
        <v>1832</v>
      </c>
      <c r="C1429" s="198"/>
      <c r="D1429" s="366" t="s">
        <v>1692</v>
      </c>
      <c r="E1429" s="198" t="s">
        <v>55</v>
      </c>
      <c r="F1429" s="281">
        <v>47</v>
      </c>
      <c r="G1429" s="229"/>
      <c r="H1429" s="235"/>
    </row>
    <row r="1430" spans="2:8">
      <c r="B1430" s="183" t="s">
        <v>1833</v>
      </c>
      <c r="C1430" s="198"/>
      <c r="D1430" s="366" t="s">
        <v>1711</v>
      </c>
      <c r="E1430" s="198" t="s">
        <v>55</v>
      </c>
      <c r="F1430" s="281">
        <v>226</v>
      </c>
      <c r="G1430" s="229"/>
      <c r="H1430" s="235"/>
    </row>
    <row r="1431" spans="2:8">
      <c r="B1431" s="183" t="s">
        <v>1834</v>
      </c>
      <c r="C1431" s="198"/>
      <c r="D1431" s="366" t="s">
        <v>1738</v>
      </c>
      <c r="E1431" s="198" t="s">
        <v>55</v>
      </c>
      <c r="F1431" s="281">
        <v>29</v>
      </c>
      <c r="G1431" s="229"/>
      <c r="H1431" s="230"/>
    </row>
    <row r="1432" spans="2:8">
      <c r="B1432" s="183" t="s">
        <v>1835</v>
      </c>
      <c r="C1432" s="198" t="s">
        <v>1704</v>
      </c>
      <c r="D1432" s="366" t="s">
        <v>1713</v>
      </c>
      <c r="E1432" s="198" t="s">
        <v>55</v>
      </c>
      <c r="F1432" s="281">
        <v>68</v>
      </c>
      <c r="G1432" s="229"/>
      <c r="H1432" s="230"/>
    </row>
    <row r="1433" spans="2:8">
      <c r="B1433" s="183" t="s">
        <v>1836</v>
      </c>
      <c r="C1433" s="198"/>
      <c r="D1433" s="332" t="s">
        <v>1696</v>
      </c>
      <c r="E1433" s="342" t="s">
        <v>209</v>
      </c>
      <c r="F1433" s="281">
        <v>104</v>
      </c>
      <c r="G1433" s="243"/>
      <c r="H1433" s="244"/>
    </row>
    <row r="1434" spans="2:8">
      <c r="B1434" s="183" t="s">
        <v>1837</v>
      </c>
      <c r="C1434" s="198"/>
      <c r="D1434" s="366" t="s">
        <v>1808</v>
      </c>
      <c r="E1434" s="342" t="s">
        <v>99</v>
      </c>
      <c r="F1434" s="281">
        <v>5</v>
      </c>
      <c r="G1434" s="243"/>
      <c r="H1434" s="244"/>
    </row>
    <row r="1435" spans="2:8">
      <c r="B1435" s="183" t="s">
        <v>1838</v>
      </c>
      <c r="C1435" s="333"/>
      <c r="D1435" s="334" t="s">
        <v>264</v>
      </c>
      <c r="E1435" s="331"/>
      <c r="F1435" s="291"/>
      <c r="G1435" s="243"/>
      <c r="H1435" s="242"/>
    </row>
    <row r="1436" spans="2:8" ht="38.25">
      <c r="B1436" s="183" t="s">
        <v>1839</v>
      </c>
      <c r="C1436" s="198"/>
      <c r="D1436" s="366" t="s">
        <v>1692</v>
      </c>
      <c r="E1436" s="198" t="s">
        <v>55</v>
      </c>
      <c r="F1436" s="281">
        <v>4</v>
      </c>
      <c r="G1436" s="229"/>
      <c r="H1436" s="235"/>
    </row>
    <row r="1437" spans="2:8">
      <c r="B1437" s="183" t="s">
        <v>1840</v>
      </c>
      <c r="C1437" s="198"/>
      <c r="D1437" s="366" t="s">
        <v>1702</v>
      </c>
      <c r="E1437" s="198" t="s">
        <v>55</v>
      </c>
      <c r="F1437" s="281">
        <v>27</v>
      </c>
      <c r="G1437" s="229"/>
      <c r="H1437" s="235"/>
    </row>
    <row r="1438" spans="2:8">
      <c r="B1438" s="183" t="s">
        <v>1841</v>
      </c>
      <c r="C1438" s="198" t="s">
        <v>1704</v>
      </c>
      <c r="D1438" s="366" t="s">
        <v>1713</v>
      </c>
      <c r="E1438" s="198" t="s">
        <v>209</v>
      </c>
      <c r="F1438" s="281">
        <v>4</v>
      </c>
      <c r="G1438" s="229"/>
      <c r="H1438" s="230"/>
    </row>
    <row r="1439" spans="2:8" ht="13.5" thickBot="1">
      <c r="B1439" s="213" t="s">
        <v>1842</v>
      </c>
      <c r="C1439" s="372"/>
      <c r="D1439" s="373" t="s">
        <v>1696</v>
      </c>
      <c r="E1439" s="372" t="s">
        <v>209</v>
      </c>
      <c r="F1439" s="305">
        <v>22</v>
      </c>
      <c r="G1439" s="276"/>
      <c r="H1439" s="382"/>
    </row>
    <row r="1440" spans="2:8" ht="16.5" thickBot="1">
      <c r="B1440" s="479" t="s">
        <v>1843</v>
      </c>
      <c r="C1440" s="480" t="s">
        <v>1844</v>
      </c>
      <c r="D1440" s="481" t="s">
        <v>1845</v>
      </c>
      <c r="E1440" s="482"/>
      <c r="F1440" s="495"/>
      <c r="G1440" s="496"/>
      <c r="H1440" s="497"/>
    </row>
    <row r="1441" spans="2:8" ht="15">
      <c r="B1441" s="486" t="s">
        <v>1846</v>
      </c>
      <c r="C1441" s="487"/>
      <c r="D1441" s="488" t="s">
        <v>133</v>
      </c>
      <c r="E1441" s="489"/>
      <c r="F1441" s="494"/>
      <c r="G1441" s="491"/>
      <c r="H1441" s="492"/>
    </row>
    <row r="1442" spans="2:8" ht="25.5">
      <c r="B1442" s="129" t="s">
        <v>1847</v>
      </c>
      <c r="C1442" s="198" t="s">
        <v>1848</v>
      </c>
      <c r="D1442" s="332" t="s">
        <v>1849</v>
      </c>
      <c r="E1442" s="206" t="s">
        <v>55</v>
      </c>
      <c r="F1442" s="281">
        <f>262.08+364.36+12.11+36+632.1</f>
        <v>1306.6500000000001</v>
      </c>
      <c r="G1442" s="256"/>
      <c r="H1442" s="263"/>
    </row>
    <row r="1443" spans="2:8" ht="15">
      <c r="B1443" s="186" t="s">
        <v>1850</v>
      </c>
      <c r="C1443" s="312"/>
      <c r="D1443" s="313" t="s">
        <v>222</v>
      </c>
      <c r="E1443" s="314"/>
      <c r="F1443" s="283"/>
      <c r="G1443" s="233"/>
      <c r="H1443" s="234"/>
    </row>
    <row r="1444" spans="2:8">
      <c r="B1444" s="129" t="s">
        <v>1851</v>
      </c>
      <c r="C1444" s="333"/>
      <c r="D1444" s="330" t="s">
        <v>224</v>
      </c>
      <c r="E1444" s="331"/>
      <c r="F1444" s="287"/>
      <c r="G1444" s="243"/>
      <c r="H1444" s="242"/>
    </row>
    <row r="1445" spans="2:8" ht="25.5">
      <c r="B1445" s="129" t="s">
        <v>1852</v>
      </c>
      <c r="C1445" s="198" t="s">
        <v>1848</v>
      </c>
      <c r="D1445" s="332" t="s">
        <v>1853</v>
      </c>
      <c r="E1445" s="206" t="s">
        <v>55</v>
      </c>
      <c r="F1445" s="281">
        <f>1205.76+120+92.75+20</f>
        <v>1438.51</v>
      </c>
      <c r="G1445" s="256"/>
      <c r="H1445" s="263"/>
    </row>
    <row r="1446" spans="2:8">
      <c r="B1446" s="129" t="s">
        <v>1854</v>
      </c>
      <c r="C1446" s="198" t="s">
        <v>1855</v>
      </c>
      <c r="D1446" s="332" t="s">
        <v>1856</v>
      </c>
      <c r="E1446" s="206" t="s">
        <v>55</v>
      </c>
      <c r="F1446" s="281">
        <f>363.2+75*0.5</f>
        <v>400.7</v>
      </c>
      <c r="G1446" s="256"/>
      <c r="H1446" s="263"/>
    </row>
    <row r="1447" spans="2:8">
      <c r="B1447" s="129" t="s">
        <v>1857</v>
      </c>
      <c r="C1447" s="198"/>
      <c r="D1447" s="332" t="s">
        <v>1858</v>
      </c>
      <c r="E1447" s="206" t="s">
        <v>55</v>
      </c>
      <c r="F1447" s="281">
        <v>80</v>
      </c>
      <c r="G1447" s="256"/>
      <c r="H1447" s="263"/>
    </row>
    <row r="1448" spans="2:8">
      <c r="B1448" s="129" t="s">
        <v>1859</v>
      </c>
      <c r="C1448" s="198" t="s">
        <v>1848</v>
      </c>
      <c r="D1448" s="332" t="s">
        <v>1860</v>
      </c>
      <c r="E1448" s="206" t="s">
        <v>55</v>
      </c>
      <c r="F1448" s="281">
        <v>25</v>
      </c>
      <c r="G1448" s="256"/>
      <c r="H1448" s="263"/>
    </row>
    <row r="1449" spans="2:8" ht="51">
      <c r="B1449" s="129" t="s">
        <v>1861</v>
      </c>
      <c r="C1449" s="198" t="s">
        <v>1862</v>
      </c>
      <c r="D1449" s="310" t="s">
        <v>1863</v>
      </c>
      <c r="E1449" s="206" t="s">
        <v>209</v>
      </c>
      <c r="F1449" s="281">
        <v>91</v>
      </c>
      <c r="G1449" s="229"/>
      <c r="H1449" s="235"/>
    </row>
    <row r="1450" spans="2:8" ht="25.5">
      <c r="B1450" s="129" t="s">
        <v>1864</v>
      </c>
      <c r="C1450" s="198" t="s">
        <v>1704</v>
      </c>
      <c r="D1450" s="310" t="s">
        <v>1865</v>
      </c>
      <c r="E1450" s="206" t="s">
        <v>209</v>
      </c>
      <c r="F1450" s="281">
        <v>75.2</v>
      </c>
      <c r="G1450" s="229"/>
      <c r="H1450" s="235"/>
    </row>
    <row r="1451" spans="2:8">
      <c r="B1451" s="129" t="s">
        <v>1866</v>
      </c>
      <c r="C1451" s="198"/>
      <c r="D1451" s="330" t="s">
        <v>236</v>
      </c>
      <c r="E1451" s="331"/>
      <c r="F1451" s="287"/>
      <c r="G1451" s="243"/>
      <c r="H1451" s="242"/>
    </row>
    <row r="1452" spans="2:8" ht="25.5">
      <c r="B1452" s="129" t="s">
        <v>1867</v>
      </c>
      <c r="C1452" s="198" t="s">
        <v>1848</v>
      </c>
      <c r="D1452" s="332" t="s">
        <v>1849</v>
      </c>
      <c r="E1452" s="206" t="s">
        <v>55</v>
      </c>
      <c r="F1452" s="281">
        <v>1232.0999999999999</v>
      </c>
      <c r="G1452" s="256"/>
      <c r="H1452" s="263"/>
    </row>
    <row r="1453" spans="2:8">
      <c r="B1453" s="129" t="s">
        <v>1868</v>
      </c>
      <c r="C1453" s="198" t="s">
        <v>1855</v>
      </c>
      <c r="D1453" s="332" t="s">
        <v>1856</v>
      </c>
      <c r="E1453" s="206" t="s">
        <v>55</v>
      </c>
      <c r="F1453" s="287">
        <v>110</v>
      </c>
      <c r="G1453" s="256"/>
      <c r="H1453" s="263"/>
    </row>
    <row r="1454" spans="2:8">
      <c r="B1454" s="129" t="s">
        <v>1869</v>
      </c>
      <c r="C1454" s="198" t="s">
        <v>1848</v>
      </c>
      <c r="D1454" s="332" t="s">
        <v>1860</v>
      </c>
      <c r="E1454" s="206" t="s">
        <v>55</v>
      </c>
      <c r="F1454" s="281">
        <v>137</v>
      </c>
      <c r="G1454" s="256"/>
      <c r="H1454" s="263"/>
    </row>
    <row r="1455" spans="2:8" ht="51">
      <c r="B1455" s="129" t="s">
        <v>1870</v>
      </c>
      <c r="C1455" s="198" t="s">
        <v>1862</v>
      </c>
      <c r="D1455" s="310" t="s">
        <v>1863</v>
      </c>
      <c r="E1455" s="206" t="s">
        <v>209</v>
      </c>
      <c r="F1455" s="281">
        <v>40</v>
      </c>
      <c r="G1455" s="229"/>
      <c r="H1455" s="235"/>
    </row>
    <row r="1456" spans="2:8" ht="25.5">
      <c r="B1456" s="129" t="s">
        <v>1871</v>
      </c>
      <c r="C1456" s="198" t="s">
        <v>1704</v>
      </c>
      <c r="D1456" s="332" t="s">
        <v>1872</v>
      </c>
      <c r="E1456" s="206" t="s">
        <v>309</v>
      </c>
      <c r="F1456" s="287">
        <v>1</v>
      </c>
      <c r="G1456" s="256"/>
      <c r="H1456" s="263"/>
    </row>
    <row r="1457" spans="2:8">
      <c r="B1457" s="129" t="s">
        <v>1873</v>
      </c>
      <c r="C1457" s="333"/>
      <c r="D1457" s="330" t="s">
        <v>243</v>
      </c>
      <c r="E1457" s="331"/>
      <c r="F1457" s="287"/>
      <c r="G1457" s="243"/>
      <c r="H1457" s="242"/>
    </row>
    <row r="1458" spans="2:8" ht="25.5">
      <c r="B1458" s="129" t="s">
        <v>1874</v>
      </c>
      <c r="C1458" s="198" t="s">
        <v>1848</v>
      </c>
      <c r="D1458" s="332" t="s">
        <v>1849</v>
      </c>
      <c r="E1458" s="206" t="s">
        <v>55</v>
      </c>
      <c r="F1458" s="281">
        <v>997</v>
      </c>
      <c r="G1458" s="256"/>
      <c r="H1458" s="263"/>
    </row>
    <row r="1459" spans="2:8">
      <c r="B1459" s="129" t="s">
        <v>1875</v>
      </c>
      <c r="C1459" s="198" t="s">
        <v>1855</v>
      </c>
      <c r="D1459" s="332" t="s">
        <v>1856</v>
      </c>
      <c r="E1459" s="206" t="s">
        <v>55</v>
      </c>
      <c r="F1459" s="281">
        <v>366</v>
      </c>
      <c r="G1459" s="256"/>
      <c r="H1459" s="263"/>
    </row>
    <row r="1460" spans="2:8">
      <c r="B1460" s="129" t="s">
        <v>1876</v>
      </c>
      <c r="C1460" s="198" t="s">
        <v>1848</v>
      </c>
      <c r="D1460" s="332" t="s">
        <v>1860</v>
      </c>
      <c r="E1460" s="206" t="s">
        <v>55</v>
      </c>
      <c r="F1460" s="281">
        <v>8</v>
      </c>
      <c r="G1460" s="256"/>
      <c r="H1460" s="263"/>
    </row>
    <row r="1461" spans="2:8" ht="51">
      <c r="B1461" s="129" t="s">
        <v>1877</v>
      </c>
      <c r="C1461" s="198" t="s">
        <v>1862</v>
      </c>
      <c r="D1461" s="310" t="s">
        <v>1863</v>
      </c>
      <c r="E1461" s="206" t="s">
        <v>209</v>
      </c>
      <c r="F1461" s="281">
        <f>1.5+35.5+6+9+10+1.5+27.5</f>
        <v>91</v>
      </c>
      <c r="G1461" s="229"/>
      <c r="H1461" s="235"/>
    </row>
    <row r="1462" spans="2:8" ht="25.5">
      <c r="B1462" s="129" t="s">
        <v>1878</v>
      </c>
      <c r="C1462" s="198" t="s">
        <v>1704</v>
      </c>
      <c r="D1462" s="332" t="s">
        <v>1865</v>
      </c>
      <c r="E1462" s="206" t="s">
        <v>209</v>
      </c>
      <c r="F1462" s="281">
        <v>75.2</v>
      </c>
      <c r="G1462" s="256"/>
      <c r="H1462" s="263"/>
    </row>
    <row r="1463" spans="2:8">
      <c r="B1463" s="129" t="s">
        <v>1879</v>
      </c>
      <c r="C1463" s="341"/>
      <c r="D1463" s="336" t="s">
        <v>1880</v>
      </c>
      <c r="E1463" s="201"/>
      <c r="F1463" s="294"/>
      <c r="G1463" s="247"/>
      <c r="H1463" s="248"/>
    </row>
    <row r="1464" spans="2:8" ht="25.5">
      <c r="B1464" s="129" t="s">
        <v>1881</v>
      </c>
      <c r="C1464" s="198" t="s">
        <v>1848</v>
      </c>
      <c r="D1464" s="332" t="s">
        <v>1849</v>
      </c>
      <c r="E1464" s="206" t="s">
        <v>55</v>
      </c>
      <c r="F1464" s="281">
        <v>250</v>
      </c>
      <c r="G1464" s="256"/>
      <c r="H1464" s="263"/>
    </row>
    <row r="1465" spans="2:8">
      <c r="B1465" s="129" t="s">
        <v>1882</v>
      </c>
      <c r="C1465" s="198" t="s">
        <v>1855</v>
      </c>
      <c r="D1465" s="332" t="s">
        <v>1856</v>
      </c>
      <c r="E1465" s="206" t="s">
        <v>55</v>
      </c>
      <c r="F1465" s="281">
        <v>391</v>
      </c>
      <c r="G1465" s="229"/>
      <c r="H1465" s="235"/>
    </row>
    <row r="1466" spans="2:8">
      <c r="B1466" s="129" t="s">
        <v>1883</v>
      </c>
      <c r="C1466" s="198" t="s">
        <v>1848</v>
      </c>
      <c r="D1466" s="310" t="s">
        <v>1860</v>
      </c>
      <c r="E1466" s="206" t="s">
        <v>55</v>
      </c>
      <c r="F1466" s="281">
        <v>46</v>
      </c>
      <c r="G1466" s="229"/>
      <c r="H1466" s="235"/>
    </row>
    <row r="1467" spans="2:8" ht="15">
      <c r="B1467" s="186" t="s">
        <v>1884</v>
      </c>
      <c r="C1467" s="312"/>
      <c r="D1467" s="313" t="s">
        <v>224</v>
      </c>
      <c r="E1467" s="314"/>
      <c r="F1467" s="283"/>
      <c r="G1467" s="233"/>
      <c r="H1467" s="234"/>
    </row>
    <row r="1468" spans="2:8">
      <c r="B1468" s="129" t="s">
        <v>1885</v>
      </c>
      <c r="C1468" s="341"/>
      <c r="D1468" s="336" t="s">
        <v>679</v>
      </c>
      <c r="E1468" s="201"/>
      <c r="F1468" s="294"/>
      <c r="G1468" s="247"/>
      <c r="H1468" s="248"/>
    </row>
    <row r="1469" spans="2:8" ht="25.5">
      <c r="B1469" s="183" t="s">
        <v>1886</v>
      </c>
      <c r="C1469" s="198" t="s">
        <v>1848</v>
      </c>
      <c r="D1469" s="332" t="s">
        <v>1849</v>
      </c>
      <c r="E1469" s="206" t="s">
        <v>55</v>
      </c>
      <c r="F1469" s="281">
        <v>1043</v>
      </c>
      <c r="G1469" s="229"/>
      <c r="H1469" s="235"/>
    </row>
    <row r="1470" spans="2:8">
      <c r="B1470" s="183" t="s">
        <v>1887</v>
      </c>
      <c r="C1470" s="198"/>
      <c r="D1470" s="332" t="s">
        <v>1858</v>
      </c>
      <c r="E1470" s="206" t="s">
        <v>55</v>
      </c>
      <c r="F1470" s="281">
        <v>128</v>
      </c>
      <c r="G1470" s="229"/>
      <c r="H1470" s="235"/>
    </row>
    <row r="1471" spans="2:8">
      <c r="B1471" s="183" t="s">
        <v>1888</v>
      </c>
      <c r="C1471" s="198" t="s">
        <v>1848</v>
      </c>
      <c r="D1471" s="310" t="s">
        <v>1860</v>
      </c>
      <c r="E1471" s="206" t="s">
        <v>55</v>
      </c>
      <c r="F1471" s="281">
        <v>295</v>
      </c>
      <c r="G1471" s="229"/>
      <c r="H1471" s="235"/>
    </row>
    <row r="1472" spans="2:8" ht="25.5">
      <c r="B1472" s="183" t="s">
        <v>1889</v>
      </c>
      <c r="C1472" s="198" t="s">
        <v>1848</v>
      </c>
      <c r="D1472" s="310" t="s">
        <v>1890</v>
      </c>
      <c r="E1472" s="206" t="s">
        <v>209</v>
      </c>
      <c r="F1472" s="281">
        <v>47</v>
      </c>
      <c r="G1472" s="229"/>
      <c r="H1472" s="235"/>
    </row>
    <row r="1473" spans="2:8">
      <c r="B1473" s="183" t="s">
        <v>1891</v>
      </c>
      <c r="C1473" s="198" t="s">
        <v>1855</v>
      </c>
      <c r="D1473" s="332" t="s">
        <v>1856</v>
      </c>
      <c r="E1473" s="206" t="s">
        <v>55</v>
      </c>
      <c r="F1473" s="281">
        <v>80</v>
      </c>
      <c r="G1473" s="229"/>
      <c r="H1473" s="235"/>
    </row>
    <row r="1474" spans="2:8">
      <c r="B1474" s="183" t="s">
        <v>1892</v>
      </c>
      <c r="C1474" s="198" t="s">
        <v>1893</v>
      </c>
      <c r="D1474" s="310" t="s">
        <v>1894</v>
      </c>
      <c r="E1474" s="206" t="s">
        <v>55</v>
      </c>
      <c r="F1474" s="281">
        <v>220</v>
      </c>
      <c r="G1474" s="229"/>
      <c r="H1474" s="235"/>
    </row>
    <row r="1475" spans="2:8" ht="38.25">
      <c r="B1475" s="183" t="s">
        <v>1895</v>
      </c>
      <c r="C1475" s="198" t="s">
        <v>1704</v>
      </c>
      <c r="D1475" s="332" t="s">
        <v>1896</v>
      </c>
      <c r="E1475" s="206" t="s">
        <v>1897</v>
      </c>
      <c r="F1475" s="281">
        <v>1</v>
      </c>
      <c r="G1475" s="229"/>
      <c r="H1475" s="235"/>
    </row>
    <row r="1476" spans="2:8" ht="51">
      <c r="B1476" s="183" t="s">
        <v>1898</v>
      </c>
      <c r="C1476" s="198" t="s">
        <v>1862</v>
      </c>
      <c r="D1476" s="310" t="s">
        <v>1863</v>
      </c>
      <c r="E1476" s="206" t="s">
        <v>55</v>
      </c>
      <c r="F1476" s="281">
        <v>91</v>
      </c>
      <c r="G1476" s="229"/>
      <c r="H1476" s="235"/>
    </row>
    <row r="1477" spans="2:8">
      <c r="B1477" s="183" t="s">
        <v>1899</v>
      </c>
      <c r="C1477" s="333"/>
      <c r="D1477" s="340" t="s">
        <v>264</v>
      </c>
      <c r="E1477" s="342"/>
      <c r="F1477" s="287"/>
      <c r="G1477" s="243"/>
      <c r="H1477" s="244"/>
    </row>
    <row r="1478" spans="2:8" ht="25.5">
      <c r="B1478" s="183" t="s">
        <v>1900</v>
      </c>
      <c r="C1478" s="198" t="s">
        <v>1848</v>
      </c>
      <c r="D1478" s="332" t="s">
        <v>1849</v>
      </c>
      <c r="E1478" s="206" t="s">
        <v>55</v>
      </c>
      <c r="F1478" s="281">
        <v>713</v>
      </c>
      <c r="G1478" s="229"/>
      <c r="H1478" s="235"/>
    </row>
    <row r="1479" spans="2:8">
      <c r="B1479" s="183" t="s">
        <v>1901</v>
      </c>
      <c r="C1479" s="198" t="s">
        <v>1848</v>
      </c>
      <c r="D1479" s="310" t="s">
        <v>1860</v>
      </c>
      <c r="E1479" s="206" t="s">
        <v>55</v>
      </c>
      <c r="F1479" s="281">
        <v>107</v>
      </c>
      <c r="G1479" s="229"/>
      <c r="H1479" s="235"/>
    </row>
    <row r="1480" spans="2:8" ht="25.5">
      <c r="B1480" s="183" t="s">
        <v>1902</v>
      </c>
      <c r="C1480" s="198" t="s">
        <v>1848</v>
      </c>
      <c r="D1480" s="310" t="s">
        <v>1890</v>
      </c>
      <c r="E1480" s="206" t="s">
        <v>209</v>
      </c>
      <c r="F1480" s="281">
        <v>47</v>
      </c>
      <c r="G1480" s="229"/>
      <c r="H1480" s="235"/>
    </row>
    <row r="1481" spans="2:8">
      <c r="B1481" s="183" t="s">
        <v>1903</v>
      </c>
      <c r="C1481" s="198" t="s">
        <v>1855</v>
      </c>
      <c r="D1481" s="332" t="s">
        <v>1856</v>
      </c>
      <c r="E1481" s="206" t="s">
        <v>55</v>
      </c>
      <c r="F1481" s="281">
        <v>80</v>
      </c>
      <c r="G1481" s="229"/>
      <c r="H1481" s="235"/>
    </row>
    <row r="1482" spans="2:8">
      <c r="B1482" s="183" t="s">
        <v>1904</v>
      </c>
      <c r="C1482" s="198" t="s">
        <v>1893</v>
      </c>
      <c r="D1482" s="367" t="s">
        <v>1894</v>
      </c>
      <c r="E1482" s="206" t="s">
        <v>55</v>
      </c>
      <c r="F1482" s="281">
        <v>220</v>
      </c>
      <c r="G1482" s="229"/>
      <c r="H1482" s="235"/>
    </row>
    <row r="1483" spans="2:8" ht="25.5">
      <c r="B1483" s="183" t="s">
        <v>1905</v>
      </c>
      <c r="C1483" s="198" t="s">
        <v>1704</v>
      </c>
      <c r="D1483" s="332" t="s">
        <v>1896</v>
      </c>
      <c r="E1483" s="206" t="s">
        <v>1897</v>
      </c>
      <c r="F1483" s="281">
        <v>1</v>
      </c>
      <c r="G1483" s="229"/>
      <c r="H1483" s="235"/>
    </row>
    <row r="1484" spans="2:8" ht="51">
      <c r="B1484" s="183" t="s">
        <v>1906</v>
      </c>
      <c r="C1484" s="198" t="s">
        <v>1862</v>
      </c>
      <c r="D1484" s="310" t="s">
        <v>1863</v>
      </c>
      <c r="E1484" s="206" t="s">
        <v>209</v>
      </c>
      <c r="F1484" s="281">
        <v>92</v>
      </c>
      <c r="G1484" s="229"/>
      <c r="H1484" s="235"/>
    </row>
    <row r="1485" spans="2:8">
      <c r="B1485" s="183" t="s">
        <v>1907</v>
      </c>
      <c r="C1485" s="333"/>
      <c r="D1485" s="340" t="s">
        <v>272</v>
      </c>
      <c r="E1485" s="342"/>
      <c r="F1485" s="287"/>
      <c r="G1485" s="243"/>
      <c r="H1485" s="244"/>
    </row>
    <row r="1486" spans="2:8" ht="25.5">
      <c r="B1486" s="183" t="s">
        <v>1908</v>
      </c>
      <c r="C1486" s="198" t="s">
        <v>1848</v>
      </c>
      <c r="D1486" s="332" t="s">
        <v>1849</v>
      </c>
      <c r="E1486" s="206" t="s">
        <v>55</v>
      </c>
      <c r="F1486" s="281">
        <v>780</v>
      </c>
      <c r="G1486" s="229"/>
      <c r="H1486" s="235"/>
    </row>
    <row r="1487" spans="2:8">
      <c r="B1487" s="183" t="s">
        <v>1909</v>
      </c>
      <c r="C1487" s="198"/>
      <c r="D1487" s="332" t="s">
        <v>1858</v>
      </c>
      <c r="E1487" s="206" t="s">
        <v>55</v>
      </c>
      <c r="F1487" s="281">
        <f>24*4+2.2*16+12</f>
        <v>143.19999999999999</v>
      </c>
      <c r="G1487" s="229"/>
      <c r="H1487" s="235"/>
    </row>
    <row r="1488" spans="2:8" ht="25.5">
      <c r="B1488" s="183" t="s">
        <v>1910</v>
      </c>
      <c r="C1488" s="198" t="s">
        <v>1848</v>
      </c>
      <c r="D1488" s="310" t="s">
        <v>1890</v>
      </c>
      <c r="E1488" s="206" t="s">
        <v>209</v>
      </c>
      <c r="F1488" s="281">
        <v>47</v>
      </c>
      <c r="G1488" s="229"/>
      <c r="H1488" s="235"/>
    </row>
    <row r="1489" spans="2:8">
      <c r="B1489" s="183" t="s">
        <v>1911</v>
      </c>
      <c r="C1489" s="198" t="s">
        <v>1855</v>
      </c>
      <c r="D1489" s="332" t="s">
        <v>1856</v>
      </c>
      <c r="E1489" s="206" t="s">
        <v>55</v>
      </c>
      <c r="F1489" s="281">
        <v>80</v>
      </c>
      <c r="G1489" s="229"/>
      <c r="H1489" s="235"/>
    </row>
    <row r="1490" spans="2:8">
      <c r="B1490" s="183" t="s">
        <v>1912</v>
      </c>
      <c r="C1490" s="198" t="s">
        <v>1893</v>
      </c>
      <c r="D1490" s="367" t="s">
        <v>1894</v>
      </c>
      <c r="E1490" s="206" t="s">
        <v>55</v>
      </c>
      <c r="F1490" s="281">
        <v>250</v>
      </c>
      <c r="G1490" s="229"/>
      <c r="H1490" s="235"/>
    </row>
    <row r="1491" spans="2:8" ht="25.5">
      <c r="B1491" s="183" t="s">
        <v>1913</v>
      </c>
      <c r="C1491" s="198" t="s">
        <v>1704</v>
      </c>
      <c r="D1491" s="332" t="s">
        <v>1896</v>
      </c>
      <c r="E1491" s="206" t="s">
        <v>1897</v>
      </c>
      <c r="F1491" s="281">
        <v>1</v>
      </c>
      <c r="G1491" s="229"/>
      <c r="H1491" s="235"/>
    </row>
    <row r="1492" spans="2:8" ht="51">
      <c r="B1492" s="183" t="s">
        <v>1914</v>
      </c>
      <c r="C1492" s="198" t="s">
        <v>1862</v>
      </c>
      <c r="D1492" s="310" t="s">
        <v>1863</v>
      </c>
      <c r="E1492" s="206" t="s">
        <v>209</v>
      </c>
      <c r="F1492" s="281">
        <v>91</v>
      </c>
      <c r="G1492" s="229"/>
      <c r="H1492" s="235"/>
    </row>
    <row r="1493" spans="2:8">
      <c r="B1493" s="183" t="s">
        <v>1915</v>
      </c>
      <c r="C1493" s="333"/>
      <c r="D1493" s="340" t="s">
        <v>279</v>
      </c>
      <c r="E1493" s="342"/>
      <c r="F1493" s="287"/>
      <c r="G1493" s="243"/>
      <c r="H1493" s="244"/>
    </row>
    <row r="1494" spans="2:8" ht="25.5">
      <c r="B1494" s="183" t="s">
        <v>1916</v>
      </c>
      <c r="C1494" s="198" t="s">
        <v>1848</v>
      </c>
      <c r="D1494" s="332" t="s">
        <v>1849</v>
      </c>
      <c r="E1494" s="206" t="s">
        <v>55</v>
      </c>
      <c r="F1494" s="281">
        <v>780</v>
      </c>
      <c r="G1494" s="229"/>
      <c r="H1494" s="235"/>
    </row>
    <row r="1495" spans="2:8">
      <c r="B1495" s="183" t="s">
        <v>1917</v>
      </c>
      <c r="C1495" s="198"/>
      <c r="D1495" s="332" t="s">
        <v>1858</v>
      </c>
      <c r="E1495" s="206" t="s">
        <v>55</v>
      </c>
      <c r="F1495" s="281">
        <f>24*4+2.2*16+12</f>
        <v>143.19999999999999</v>
      </c>
      <c r="G1495" s="229"/>
      <c r="H1495" s="235"/>
    </row>
    <row r="1496" spans="2:8" ht="25.5">
      <c r="B1496" s="183" t="s">
        <v>1918</v>
      </c>
      <c r="C1496" s="198" t="s">
        <v>1848</v>
      </c>
      <c r="D1496" s="310" t="s">
        <v>1890</v>
      </c>
      <c r="E1496" s="206" t="s">
        <v>209</v>
      </c>
      <c r="F1496" s="281">
        <v>47</v>
      </c>
      <c r="G1496" s="229"/>
      <c r="H1496" s="235"/>
    </row>
    <row r="1497" spans="2:8">
      <c r="B1497" s="183" t="s">
        <v>1919</v>
      </c>
      <c r="C1497" s="198" t="s">
        <v>1855</v>
      </c>
      <c r="D1497" s="332" t="s">
        <v>1856</v>
      </c>
      <c r="E1497" s="206" t="s">
        <v>55</v>
      </c>
      <c r="F1497" s="281">
        <v>80</v>
      </c>
      <c r="G1497" s="229"/>
      <c r="H1497" s="235"/>
    </row>
    <row r="1498" spans="2:8">
      <c r="B1498" s="183" t="s">
        <v>1920</v>
      </c>
      <c r="C1498" s="198" t="s">
        <v>1893</v>
      </c>
      <c r="D1498" s="367" t="s">
        <v>1894</v>
      </c>
      <c r="E1498" s="206" t="s">
        <v>55</v>
      </c>
      <c r="F1498" s="281">
        <v>250</v>
      </c>
      <c r="G1498" s="229"/>
      <c r="H1498" s="235"/>
    </row>
    <row r="1499" spans="2:8" ht="25.5">
      <c r="B1499" s="183" t="s">
        <v>1921</v>
      </c>
      <c r="C1499" s="198" t="s">
        <v>1704</v>
      </c>
      <c r="D1499" s="332" t="s">
        <v>1896</v>
      </c>
      <c r="E1499" s="206" t="s">
        <v>1897</v>
      </c>
      <c r="F1499" s="281">
        <v>1</v>
      </c>
      <c r="G1499" s="229"/>
      <c r="H1499" s="235"/>
    </row>
    <row r="1500" spans="2:8" ht="51">
      <c r="B1500" s="183" t="s">
        <v>1922</v>
      </c>
      <c r="C1500" s="198" t="s">
        <v>1862</v>
      </c>
      <c r="D1500" s="310" t="s">
        <v>1863</v>
      </c>
      <c r="E1500" s="206" t="s">
        <v>209</v>
      </c>
      <c r="F1500" s="281">
        <v>91</v>
      </c>
      <c r="G1500" s="229"/>
      <c r="H1500" s="235"/>
    </row>
    <row r="1501" spans="2:8">
      <c r="B1501" s="183" t="s">
        <v>1923</v>
      </c>
      <c r="C1501" s="333"/>
      <c r="D1501" s="340" t="s">
        <v>286</v>
      </c>
      <c r="E1501" s="206"/>
      <c r="F1501" s="287"/>
      <c r="G1501" s="243"/>
      <c r="H1501" s="244"/>
    </row>
    <row r="1502" spans="2:8" ht="25.5">
      <c r="B1502" s="183" t="s">
        <v>1924</v>
      </c>
      <c r="C1502" s="198" t="s">
        <v>1848</v>
      </c>
      <c r="D1502" s="332" t="s">
        <v>1849</v>
      </c>
      <c r="E1502" s="206" t="s">
        <v>55</v>
      </c>
      <c r="F1502" s="281">
        <v>780</v>
      </c>
      <c r="G1502" s="229"/>
      <c r="H1502" s="235"/>
    </row>
    <row r="1503" spans="2:8">
      <c r="B1503" s="183" t="s">
        <v>1925</v>
      </c>
      <c r="C1503" s="198"/>
      <c r="D1503" s="332" t="s">
        <v>1858</v>
      </c>
      <c r="E1503" s="206" t="s">
        <v>55</v>
      </c>
      <c r="F1503" s="281">
        <f>24*4+2.2*16+12</f>
        <v>143.19999999999999</v>
      </c>
      <c r="G1503" s="229"/>
      <c r="H1503" s="235"/>
    </row>
    <row r="1504" spans="2:8" ht="25.5">
      <c r="B1504" s="183" t="s">
        <v>1926</v>
      </c>
      <c r="C1504" s="198" t="s">
        <v>1848</v>
      </c>
      <c r="D1504" s="310" t="s">
        <v>1890</v>
      </c>
      <c r="E1504" s="206" t="s">
        <v>209</v>
      </c>
      <c r="F1504" s="281">
        <v>47</v>
      </c>
      <c r="G1504" s="229"/>
      <c r="H1504" s="235"/>
    </row>
    <row r="1505" spans="2:8">
      <c r="B1505" s="183" t="s">
        <v>1927</v>
      </c>
      <c r="C1505" s="198" t="s">
        <v>1855</v>
      </c>
      <c r="D1505" s="332" t="s">
        <v>1856</v>
      </c>
      <c r="E1505" s="206" t="s">
        <v>55</v>
      </c>
      <c r="F1505" s="281">
        <v>80</v>
      </c>
      <c r="G1505" s="229"/>
      <c r="H1505" s="235"/>
    </row>
    <row r="1506" spans="2:8">
      <c r="B1506" s="183" t="s">
        <v>1928</v>
      </c>
      <c r="C1506" s="198" t="s">
        <v>1893</v>
      </c>
      <c r="D1506" s="367" t="s">
        <v>1894</v>
      </c>
      <c r="E1506" s="206" t="s">
        <v>55</v>
      </c>
      <c r="F1506" s="281">
        <v>250</v>
      </c>
      <c r="G1506" s="229"/>
      <c r="H1506" s="235"/>
    </row>
    <row r="1507" spans="2:8" ht="25.5">
      <c r="B1507" s="183" t="s">
        <v>1929</v>
      </c>
      <c r="C1507" s="198" t="s">
        <v>1704</v>
      </c>
      <c r="D1507" s="332" t="s">
        <v>1896</v>
      </c>
      <c r="E1507" s="206" t="s">
        <v>1897</v>
      </c>
      <c r="F1507" s="281">
        <v>1</v>
      </c>
      <c r="G1507" s="229"/>
      <c r="H1507" s="235"/>
    </row>
    <row r="1508" spans="2:8" ht="51">
      <c r="B1508" s="183" t="s">
        <v>1930</v>
      </c>
      <c r="C1508" s="198" t="s">
        <v>1862</v>
      </c>
      <c r="D1508" s="310" t="s">
        <v>1863</v>
      </c>
      <c r="E1508" s="206" t="s">
        <v>209</v>
      </c>
      <c r="F1508" s="281">
        <v>91</v>
      </c>
      <c r="G1508" s="229"/>
      <c r="H1508" s="235"/>
    </row>
    <row r="1509" spans="2:8">
      <c r="B1509" s="183" t="s">
        <v>1931</v>
      </c>
      <c r="C1509" s="333"/>
      <c r="D1509" s="340" t="s">
        <v>293</v>
      </c>
      <c r="E1509" s="342"/>
      <c r="F1509" s="287"/>
      <c r="G1509" s="243"/>
      <c r="H1509" s="244"/>
    </row>
    <row r="1510" spans="2:8" ht="25.5">
      <c r="B1510" s="183" t="s">
        <v>1932</v>
      </c>
      <c r="C1510" s="198" t="s">
        <v>1848</v>
      </c>
      <c r="D1510" s="332" t="s">
        <v>1849</v>
      </c>
      <c r="E1510" s="206" t="s">
        <v>55</v>
      </c>
      <c r="F1510" s="281">
        <v>780</v>
      </c>
      <c r="G1510" s="229"/>
      <c r="H1510" s="235"/>
    </row>
    <row r="1511" spans="2:8" ht="25.5">
      <c r="B1511" s="183" t="s">
        <v>1933</v>
      </c>
      <c r="C1511" s="198" t="s">
        <v>1848</v>
      </c>
      <c r="D1511" s="310" t="s">
        <v>1890</v>
      </c>
      <c r="E1511" s="206" t="s">
        <v>209</v>
      </c>
      <c r="F1511" s="281">
        <v>47</v>
      </c>
      <c r="G1511" s="229"/>
      <c r="H1511" s="235"/>
    </row>
    <row r="1512" spans="2:8">
      <c r="B1512" s="183" t="s">
        <v>1934</v>
      </c>
      <c r="C1512" s="198" t="s">
        <v>1855</v>
      </c>
      <c r="D1512" s="332" t="s">
        <v>1856</v>
      </c>
      <c r="E1512" s="206" t="s">
        <v>55</v>
      </c>
      <c r="F1512" s="281">
        <v>80</v>
      </c>
      <c r="G1512" s="229"/>
      <c r="H1512" s="235"/>
    </row>
    <row r="1513" spans="2:8">
      <c r="B1513" s="183" t="s">
        <v>1935</v>
      </c>
      <c r="C1513" s="198" t="s">
        <v>1893</v>
      </c>
      <c r="D1513" s="367" t="s">
        <v>1894</v>
      </c>
      <c r="E1513" s="206" t="s">
        <v>55</v>
      </c>
      <c r="F1513" s="281">
        <v>250</v>
      </c>
      <c r="G1513" s="229"/>
      <c r="H1513" s="235"/>
    </row>
    <row r="1514" spans="2:8" ht="25.5">
      <c r="B1514" s="183" t="s">
        <v>1936</v>
      </c>
      <c r="C1514" s="198" t="s">
        <v>1704</v>
      </c>
      <c r="D1514" s="332" t="s">
        <v>1896</v>
      </c>
      <c r="E1514" s="206" t="s">
        <v>1897</v>
      </c>
      <c r="F1514" s="281">
        <v>1</v>
      </c>
      <c r="G1514" s="229"/>
      <c r="H1514" s="235"/>
    </row>
    <row r="1515" spans="2:8" ht="51">
      <c r="B1515" s="183" t="s">
        <v>1937</v>
      </c>
      <c r="C1515" s="198" t="s">
        <v>1862</v>
      </c>
      <c r="D1515" s="310" t="s">
        <v>1863</v>
      </c>
      <c r="E1515" s="206" t="s">
        <v>209</v>
      </c>
      <c r="F1515" s="281">
        <v>91</v>
      </c>
      <c r="G1515" s="229"/>
      <c r="H1515" s="235"/>
    </row>
    <row r="1516" spans="2:8">
      <c r="B1516" s="183" t="s">
        <v>1938</v>
      </c>
      <c r="C1516" s="198"/>
      <c r="D1516" s="334" t="s">
        <v>719</v>
      </c>
      <c r="E1516" s="206"/>
      <c r="F1516" s="291"/>
      <c r="G1516" s="243"/>
      <c r="H1516" s="242"/>
    </row>
    <row r="1517" spans="2:8" ht="25.5">
      <c r="B1517" s="129" t="s">
        <v>1939</v>
      </c>
      <c r="C1517" s="198" t="s">
        <v>1848</v>
      </c>
      <c r="D1517" s="332" t="s">
        <v>1849</v>
      </c>
      <c r="E1517" s="206" t="s">
        <v>55</v>
      </c>
      <c r="F1517" s="281">
        <v>440</v>
      </c>
      <c r="G1517" s="229"/>
      <c r="H1517" s="235"/>
    </row>
    <row r="1518" spans="2:8">
      <c r="B1518" s="129" t="s">
        <v>1940</v>
      </c>
      <c r="C1518" s="198" t="s">
        <v>1855</v>
      </c>
      <c r="D1518" s="332" t="s">
        <v>1856</v>
      </c>
      <c r="E1518" s="206" t="s">
        <v>55</v>
      </c>
      <c r="F1518" s="281">
        <v>300</v>
      </c>
      <c r="G1518" s="229"/>
      <c r="H1518" s="235"/>
    </row>
    <row r="1519" spans="2:8" ht="15">
      <c r="B1519" s="186" t="s">
        <v>1941</v>
      </c>
      <c r="C1519" s="312"/>
      <c r="D1519" s="313" t="s">
        <v>236</v>
      </c>
      <c r="E1519" s="314"/>
      <c r="F1519" s="283"/>
      <c r="G1519" s="233"/>
      <c r="H1519" s="234"/>
    </row>
    <row r="1520" spans="2:8">
      <c r="B1520" s="183" t="s">
        <v>1942</v>
      </c>
      <c r="C1520" s="198"/>
      <c r="D1520" s="332" t="s">
        <v>679</v>
      </c>
      <c r="E1520" s="198"/>
      <c r="F1520" s="281"/>
      <c r="G1520" s="229"/>
      <c r="H1520" s="235"/>
    </row>
    <row r="1521" spans="2:8" ht="25.5">
      <c r="B1521" s="183" t="s">
        <v>1943</v>
      </c>
      <c r="C1521" s="198" t="s">
        <v>1848</v>
      </c>
      <c r="D1521" s="332" t="s">
        <v>1849</v>
      </c>
      <c r="E1521" s="206" t="s">
        <v>55</v>
      </c>
      <c r="F1521" s="281">
        <v>1035</v>
      </c>
      <c r="G1521" s="229"/>
      <c r="H1521" s="235"/>
    </row>
    <row r="1522" spans="2:8">
      <c r="B1522" s="183" t="s">
        <v>1944</v>
      </c>
      <c r="C1522" s="198" t="s">
        <v>1848</v>
      </c>
      <c r="D1522" s="310" t="s">
        <v>1860</v>
      </c>
      <c r="E1522" s="206" t="s">
        <v>55</v>
      </c>
      <c r="F1522" s="281">
        <v>112</v>
      </c>
      <c r="G1522" s="229"/>
      <c r="H1522" s="235"/>
    </row>
    <row r="1523" spans="2:8" ht="25.5">
      <c r="B1523" s="183" t="s">
        <v>1945</v>
      </c>
      <c r="C1523" s="198" t="s">
        <v>1848</v>
      </c>
      <c r="D1523" s="310" t="s">
        <v>1890</v>
      </c>
      <c r="E1523" s="206" t="s">
        <v>209</v>
      </c>
      <c r="F1523" s="281">
        <v>13</v>
      </c>
      <c r="G1523" s="229"/>
      <c r="H1523" s="235"/>
    </row>
    <row r="1524" spans="2:8">
      <c r="B1524" s="183" t="s">
        <v>1946</v>
      </c>
      <c r="C1524" s="198" t="s">
        <v>1855</v>
      </c>
      <c r="D1524" s="332" t="s">
        <v>1856</v>
      </c>
      <c r="E1524" s="206" t="s">
        <v>55</v>
      </c>
      <c r="F1524" s="281">
        <v>112</v>
      </c>
      <c r="G1524" s="229"/>
      <c r="H1524" s="235"/>
    </row>
    <row r="1525" spans="2:8" ht="51">
      <c r="B1525" s="183" t="s">
        <v>1947</v>
      </c>
      <c r="C1525" s="198" t="s">
        <v>1862</v>
      </c>
      <c r="D1525" s="310" t="s">
        <v>1863</v>
      </c>
      <c r="E1525" s="206" t="s">
        <v>209</v>
      </c>
      <c r="F1525" s="281">
        <v>41</v>
      </c>
      <c r="G1525" s="229"/>
      <c r="H1525" s="235"/>
    </row>
    <row r="1526" spans="2:8">
      <c r="B1526" s="183" t="s">
        <v>1948</v>
      </c>
      <c r="C1526" s="333"/>
      <c r="D1526" s="340" t="s">
        <v>264</v>
      </c>
      <c r="E1526" s="206"/>
      <c r="F1526" s="287"/>
      <c r="G1526" s="243"/>
      <c r="H1526" s="244"/>
    </row>
    <row r="1527" spans="2:8" ht="25.5">
      <c r="B1527" s="183" t="s">
        <v>1949</v>
      </c>
      <c r="C1527" s="198" t="s">
        <v>1848</v>
      </c>
      <c r="D1527" s="332" t="s">
        <v>1849</v>
      </c>
      <c r="E1527" s="206" t="s">
        <v>55</v>
      </c>
      <c r="F1527" s="281">
        <v>1059</v>
      </c>
      <c r="G1527" s="229"/>
      <c r="H1527" s="235"/>
    </row>
    <row r="1528" spans="2:8">
      <c r="B1528" s="183" t="s">
        <v>1950</v>
      </c>
      <c r="C1528" s="198" t="s">
        <v>1848</v>
      </c>
      <c r="D1528" s="310" t="s">
        <v>1860</v>
      </c>
      <c r="E1528" s="206" t="s">
        <v>55</v>
      </c>
      <c r="F1528" s="281">
        <v>112</v>
      </c>
      <c r="G1528" s="229"/>
      <c r="H1528" s="235"/>
    </row>
    <row r="1529" spans="2:8" ht="25.5">
      <c r="B1529" s="183" t="s">
        <v>1951</v>
      </c>
      <c r="C1529" s="198" t="s">
        <v>1848</v>
      </c>
      <c r="D1529" s="310" t="s">
        <v>1890</v>
      </c>
      <c r="E1529" s="206" t="s">
        <v>209</v>
      </c>
      <c r="F1529" s="281">
        <v>13</v>
      </c>
      <c r="G1529" s="229"/>
      <c r="H1529" s="235"/>
    </row>
    <row r="1530" spans="2:8">
      <c r="B1530" s="183" t="s">
        <v>1952</v>
      </c>
      <c r="C1530" s="198" t="s">
        <v>1855</v>
      </c>
      <c r="D1530" s="332" t="s">
        <v>1856</v>
      </c>
      <c r="E1530" s="206" t="s">
        <v>55</v>
      </c>
      <c r="F1530" s="281">
        <v>110</v>
      </c>
      <c r="G1530" s="229"/>
      <c r="H1530" s="235"/>
    </row>
    <row r="1531" spans="2:8" ht="51">
      <c r="B1531" s="183" t="s">
        <v>1953</v>
      </c>
      <c r="C1531" s="198" t="s">
        <v>1862</v>
      </c>
      <c r="D1531" s="310" t="s">
        <v>1863</v>
      </c>
      <c r="E1531" s="206" t="s">
        <v>55</v>
      </c>
      <c r="F1531" s="281">
        <v>41</v>
      </c>
      <c r="G1531" s="229"/>
      <c r="H1531" s="235"/>
    </row>
    <row r="1532" spans="2:8">
      <c r="B1532" s="183" t="s">
        <v>1954</v>
      </c>
      <c r="C1532" s="333"/>
      <c r="D1532" s="340" t="s">
        <v>272</v>
      </c>
      <c r="E1532" s="342"/>
      <c r="F1532" s="287"/>
      <c r="G1532" s="243"/>
      <c r="H1532" s="244"/>
    </row>
    <row r="1533" spans="2:8" ht="25.5">
      <c r="B1533" s="183" t="s">
        <v>1955</v>
      </c>
      <c r="C1533" s="198" t="s">
        <v>1848</v>
      </c>
      <c r="D1533" s="332" t="s">
        <v>1849</v>
      </c>
      <c r="E1533" s="206" t="s">
        <v>55</v>
      </c>
      <c r="F1533" s="281">
        <v>1059</v>
      </c>
      <c r="G1533" s="229"/>
      <c r="H1533" s="235"/>
    </row>
    <row r="1534" spans="2:8">
      <c r="B1534" s="183" t="s">
        <v>1956</v>
      </c>
      <c r="C1534" s="198" t="s">
        <v>1848</v>
      </c>
      <c r="D1534" s="310" t="s">
        <v>1860</v>
      </c>
      <c r="E1534" s="206" t="s">
        <v>55</v>
      </c>
      <c r="F1534" s="281">
        <v>109</v>
      </c>
      <c r="G1534" s="229"/>
      <c r="H1534" s="235"/>
    </row>
    <row r="1535" spans="2:8" ht="25.5">
      <c r="B1535" s="183" t="s">
        <v>1957</v>
      </c>
      <c r="C1535" s="198" t="s">
        <v>1848</v>
      </c>
      <c r="D1535" s="310" t="s">
        <v>1890</v>
      </c>
      <c r="E1535" s="206" t="s">
        <v>209</v>
      </c>
      <c r="F1535" s="281">
        <v>8</v>
      </c>
      <c r="G1535" s="229"/>
      <c r="H1535" s="235"/>
    </row>
    <row r="1536" spans="2:8">
      <c r="B1536" s="183" t="s">
        <v>1958</v>
      </c>
      <c r="C1536" s="198" t="s">
        <v>1855</v>
      </c>
      <c r="D1536" s="332" t="s">
        <v>1856</v>
      </c>
      <c r="E1536" s="206" t="s">
        <v>55</v>
      </c>
      <c r="F1536" s="281">
        <v>110</v>
      </c>
      <c r="G1536" s="229"/>
      <c r="H1536" s="235"/>
    </row>
    <row r="1537" spans="2:8" ht="51">
      <c r="B1537" s="183" t="s">
        <v>1959</v>
      </c>
      <c r="C1537" s="198" t="s">
        <v>1862</v>
      </c>
      <c r="D1537" s="310" t="s">
        <v>1863</v>
      </c>
      <c r="E1537" s="206" t="s">
        <v>55</v>
      </c>
      <c r="F1537" s="281">
        <v>41</v>
      </c>
      <c r="G1537" s="229"/>
      <c r="H1537" s="235"/>
    </row>
    <row r="1538" spans="2:8">
      <c r="B1538" s="183" t="s">
        <v>1960</v>
      </c>
      <c r="C1538" s="333"/>
      <c r="D1538" s="340" t="s">
        <v>279</v>
      </c>
      <c r="E1538" s="342"/>
      <c r="F1538" s="287"/>
      <c r="G1538" s="243"/>
      <c r="H1538" s="244"/>
    </row>
    <row r="1539" spans="2:8" ht="25.5">
      <c r="B1539" s="183" t="s">
        <v>1961</v>
      </c>
      <c r="C1539" s="198" t="s">
        <v>1848</v>
      </c>
      <c r="D1539" s="332" t="s">
        <v>1849</v>
      </c>
      <c r="E1539" s="206" t="s">
        <v>55</v>
      </c>
      <c r="F1539" s="281">
        <v>1059</v>
      </c>
      <c r="G1539" s="229"/>
      <c r="H1539" s="235"/>
    </row>
    <row r="1540" spans="2:8">
      <c r="B1540" s="183" t="s">
        <v>1962</v>
      </c>
      <c r="C1540" s="198" t="s">
        <v>1848</v>
      </c>
      <c r="D1540" s="310" t="s">
        <v>1860</v>
      </c>
      <c r="E1540" s="206" t="s">
        <v>55</v>
      </c>
      <c r="F1540" s="281">
        <v>109</v>
      </c>
      <c r="G1540" s="229"/>
      <c r="H1540" s="235"/>
    </row>
    <row r="1541" spans="2:8" ht="25.5">
      <c r="B1541" s="183" t="s">
        <v>1963</v>
      </c>
      <c r="C1541" s="198" t="s">
        <v>1848</v>
      </c>
      <c r="D1541" s="310" t="s">
        <v>1890</v>
      </c>
      <c r="E1541" s="206" t="s">
        <v>209</v>
      </c>
      <c r="F1541" s="281">
        <v>8</v>
      </c>
      <c r="G1541" s="229"/>
      <c r="H1541" s="235"/>
    </row>
    <row r="1542" spans="2:8">
      <c r="B1542" s="183" t="s">
        <v>1964</v>
      </c>
      <c r="C1542" s="198" t="s">
        <v>1855</v>
      </c>
      <c r="D1542" s="332" t="s">
        <v>1856</v>
      </c>
      <c r="E1542" s="206" t="s">
        <v>55</v>
      </c>
      <c r="F1542" s="281">
        <v>110</v>
      </c>
      <c r="G1542" s="229"/>
      <c r="H1542" s="235"/>
    </row>
    <row r="1543" spans="2:8" ht="51">
      <c r="B1543" s="183" t="s">
        <v>1965</v>
      </c>
      <c r="C1543" s="198" t="s">
        <v>1862</v>
      </c>
      <c r="D1543" s="310" t="s">
        <v>1863</v>
      </c>
      <c r="E1543" s="206" t="s">
        <v>55</v>
      </c>
      <c r="F1543" s="281">
        <v>41</v>
      </c>
      <c r="G1543" s="229"/>
      <c r="H1543" s="235"/>
    </row>
    <row r="1544" spans="2:8">
      <c r="B1544" s="183" t="s">
        <v>1966</v>
      </c>
      <c r="C1544" s="333"/>
      <c r="D1544" s="340" t="s">
        <v>286</v>
      </c>
      <c r="E1544" s="342"/>
      <c r="F1544" s="287"/>
      <c r="G1544" s="243"/>
      <c r="H1544" s="244"/>
    </row>
    <row r="1545" spans="2:8" ht="25.5">
      <c r="B1545" s="183" t="s">
        <v>1967</v>
      </c>
      <c r="C1545" s="198" t="s">
        <v>1848</v>
      </c>
      <c r="D1545" s="332" t="s">
        <v>1849</v>
      </c>
      <c r="E1545" s="206" t="s">
        <v>55</v>
      </c>
      <c r="F1545" s="281">
        <v>1059</v>
      </c>
      <c r="G1545" s="229"/>
      <c r="H1545" s="235"/>
    </row>
    <row r="1546" spans="2:8">
      <c r="B1546" s="183" t="s">
        <v>1968</v>
      </c>
      <c r="C1546" s="198" t="s">
        <v>1848</v>
      </c>
      <c r="D1546" s="310" t="s">
        <v>1860</v>
      </c>
      <c r="E1546" s="206" t="s">
        <v>55</v>
      </c>
      <c r="F1546" s="281">
        <v>109</v>
      </c>
      <c r="G1546" s="229"/>
      <c r="H1546" s="235"/>
    </row>
    <row r="1547" spans="2:8" ht="25.5">
      <c r="B1547" s="183" t="s">
        <v>1969</v>
      </c>
      <c r="C1547" s="198" t="s">
        <v>1848</v>
      </c>
      <c r="D1547" s="310" t="s">
        <v>1890</v>
      </c>
      <c r="E1547" s="206" t="s">
        <v>209</v>
      </c>
      <c r="F1547" s="281">
        <v>8</v>
      </c>
      <c r="G1547" s="229"/>
      <c r="H1547" s="235"/>
    </row>
    <row r="1548" spans="2:8">
      <c r="B1548" s="183" t="s">
        <v>1970</v>
      </c>
      <c r="C1548" s="198" t="s">
        <v>1855</v>
      </c>
      <c r="D1548" s="332" t="s">
        <v>1856</v>
      </c>
      <c r="E1548" s="206" t="s">
        <v>55</v>
      </c>
      <c r="F1548" s="281">
        <v>80</v>
      </c>
      <c r="G1548" s="229"/>
      <c r="H1548" s="235"/>
    </row>
    <row r="1549" spans="2:8" ht="51">
      <c r="B1549" s="183" t="s">
        <v>1971</v>
      </c>
      <c r="C1549" s="198" t="s">
        <v>1862</v>
      </c>
      <c r="D1549" s="310" t="s">
        <v>1863</v>
      </c>
      <c r="E1549" s="206" t="s">
        <v>55</v>
      </c>
      <c r="F1549" s="281">
        <v>60</v>
      </c>
      <c r="G1549" s="229"/>
      <c r="H1549" s="235"/>
    </row>
    <row r="1550" spans="2:8">
      <c r="B1550" s="183" t="s">
        <v>1972</v>
      </c>
      <c r="C1550" s="333"/>
      <c r="D1550" s="340" t="s">
        <v>293</v>
      </c>
      <c r="E1550" s="342"/>
      <c r="F1550" s="287"/>
      <c r="G1550" s="243"/>
      <c r="H1550" s="244"/>
    </row>
    <row r="1551" spans="2:8" ht="25.5">
      <c r="B1551" s="183" t="s">
        <v>1973</v>
      </c>
      <c r="C1551" s="198" t="s">
        <v>1848</v>
      </c>
      <c r="D1551" s="332" t="s">
        <v>1849</v>
      </c>
      <c r="E1551" s="206" t="s">
        <v>55</v>
      </c>
      <c r="F1551" s="281">
        <v>1059</v>
      </c>
      <c r="G1551" s="229"/>
      <c r="H1551" s="235"/>
    </row>
    <row r="1552" spans="2:8">
      <c r="B1552" s="183" t="s">
        <v>1974</v>
      </c>
      <c r="C1552" s="198" t="s">
        <v>1848</v>
      </c>
      <c r="D1552" s="310" t="s">
        <v>1860</v>
      </c>
      <c r="E1552" s="206" t="s">
        <v>55</v>
      </c>
      <c r="F1552" s="281">
        <v>109</v>
      </c>
      <c r="G1552" s="229"/>
      <c r="H1552" s="235"/>
    </row>
    <row r="1553" spans="2:8" ht="25.5">
      <c r="B1553" s="183" t="s">
        <v>1975</v>
      </c>
      <c r="C1553" s="198" t="s">
        <v>1848</v>
      </c>
      <c r="D1553" s="310" t="s">
        <v>1890</v>
      </c>
      <c r="E1553" s="206" t="s">
        <v>209</v>
      </c>
      <c r="F1553" s="281">
        <v>8</v>
      </c>
      <c r="G1553" s="229"/>
      <c r="H1553" s="235"/>
    </row>
    <row r="1554" spans="2:8">
      <c r="B1554" s="183" t="s">
        <v>1976</v>
      </c>
      <c r="C1554" s="198" t="s">
        <v>1855</v>
      </c>
      <c r="D1554" s="332" t="s">
        <v>1856</v>
      </c>
      <c r="E1554" s="206" t="s">
        <v>55</v>
      </c>
      <c r="F1554" s="281">
        <v>180</v>
      </c>
      <c r="G1554" s="229"/>
      <c r="H1554" s="235"/>
    </row>
    <row r="1555" spans="2:8" ht="51">
      <c r="B1555" s="183" t="s">
        <v>1977</v>
      </c>
      <c r="C1555" s="198" t="s">
        <v>1862</v>
      </c>
      <c r="D1555" s="310" t="s">
        <v>1863</v>
      </c>
      <c r="E1555" s="206" t="s">
        <v>55</v>
      </c>
      <c r="F1555" s="281">
        <v>60</v>
      </c>
      <c r="G1555" s="229"/>
      <c r="H1555" s="235"/>
    </row>
    <row r="1556" spans="2:8">
      <c r="B1556" s="129" t="s">
        <v>1978</v>
      </c>
      <c r="C1556" s="333"/>
      <c r="D1556" s="340" t="s">
        <v>719</v>
      </c>
      <c r="E1556" s="342"/>
      <c r="F1556" s="287"/>
      <c r="G1556" s="243"/>
      <c r="H1556" s="244"/>
    </row>
    <row r="1557" spans="2:8" ht="25.5">
      <c r="B1557" s="129" t="s">
        <v>1979</v>
      </c>
      <c r="C1557" s="198" t="s">
        <v>1848</v>
      </c>
      <c r="D1557" s="332" t="s">
        <v>1849</v>
      </c>
      <c r="E1557" s="206" t="s">
        <v>55</v>
      </c>
      <c r="F1557" s="281">
        <v>950</v>
      </c>
      <c r="G1557" s="229"/>
      <c r="H1557" s="235"/>
    </row>
    <row r="1558" spans="2:8">
      <c r="B1558" s="129" t="s">
        <v>1980</v>
      </c>
      <c r="C1558" s="198" t="s">
        <v>1848</v>
      </c>
      <c r="D1558" s="310" t="s">
        <v>1860</v>
      </c>
      <c r="E1558" s="198" t="s">
        <v>55</v>
      </c>
      <c r="F1558" s="281">
        <v>38</v>
      </c>
      <c r="G1558" s="229"/>
      <c r="H1558" s="235"/>
    </row>
    <row r="1559" spans="2:8" ht="25.5">
      <c r="B1559" s="129" t="s">
        <v>1981</v>
      </c>
      <c r="C1559" s="198" t="s">
        <v>1848</v>
      </c>
      <c r="D1559" s="310" t="s">
        <v>1890</v>
      </c>
      <c r="E1559" s="206" t="s">
        <v>209</v>
      </c>
      <c r="F1559" s="281">
        <v>26</v>
      </c>
      <c r="G1559" s="229"/>
      <c r="H1559" s="235"/>
    </row>
    <row r="1560" spans="2:8">
      <c r="B1560" s="129" t="s">
        <v>1982</v>
      </c>
      <c r="C1560" s="198" t="s">
        <v>1855</v>
      </c>
      <c r="D1560" s="332" t="s">
        <v>1856</v>
      </c>
      <c r="E1560" s="198" t="s">
        <v>55</v>
      </c>
      <c r="F1560" s="281">
        <v>310</v>
      </c>
      <c r="G1560" s="229"/>
      <c r="H1560" s="235"/>
    </row>
    <row r="1561" spans="2:8" ht="51">
      <c r="B1561" s="129" t="s">
        <v>1983</v>
      </c>
      <c r="C1561" s="198" t="s">
        <v>1862</v>
      </c>
      <c r="D1561" s="310" t="s">
        <v>1863</v>
      </c>
      <c r="E1561" s="198" t="s">
        <v>55</v>
      </c>
      <c r="F1561" s="281">
        <v>79</v>
      </c>
      <c r="G1561" s="229"/>
      <c r="H1561" s="235"/>
    </row>
    <row r="1562" spans="2:8" ht="15">
      <c r="B1562" s="186" t="s">
        <v>1984</v>
      </c>
      <c r="C1562" s="312"/>
      <c r="D1562" s="313" t="s">
        <v>243</v>
      </c>
      <c r="E1562" s="314"/>
      <c r="F1562" s="283"/>
      <c r="G1562" s="233"/>
      <c r="H1562" s="234"/>
    </row>
    <row r="1563" spans="2:8">
      <c r="B1563" s="183" t="s">
        <v>1985</v>
      </c>
      <c r="C1563" s="198"/>
      <c r="D1563" s="332" t="s">
        <v>679</v>
      </c>
      <c r="E1563" s="198"/>
      <c r="F1563" s="281"/>
      <c r="G1563" s="229"/>
      <c r="H1563" s="235"/>
    </row>
    <row r="1564" spans="2:8" ht="25.5">
      <c r="B1564" s="183" t="s">
        <v>1986</v>
      </c>
      <c r="C1564" s="198" t="s">
        <v>1848</v>
      </c>
      <c r="D1564" s="332" t="s">
        <v>1849</v>
      </c>
      <c r="E1564" s="206" t="s">
        <v>55</v>
      </c>
      <c r="F1564" s="281">
        <v>786</v>
      </c>
      <c r="G1564" s="229"/>
      <c r="H1564" s="230"/>
    </row>
    <row r="1565" spans="2:8">
      <c r="B1565" s="183" t="s">
        <v>1987</v>
      </c>
      <c r="C1565" s="198" t="s">
        <v>1848</v>
      </c>
      <c r="D1565" s="310" t="s">
        <v>1860</v>
      </c>
      <c r="E1565" s="206" t="s">
        <v>55</v>
      </c>
      <c r="F1565" s="281">
        <v>21</v>
      </c>
      <c r="G1565" s="229"/>
      <c r="H1565" s="230"/>
    </row>
    <row r="1566" spans="2:8" ht="25.5">
      <c r="B1566" s="183" t="s">
        <v>1988</v>
      </c>
      <c r="C1566" s="198" t="s">
        <v>1848</v>
      </c>
      <c r="D1566" s="310" t="s">
        <v>1890</v>
      </c>
      <c r="E1566" s="206" t="s">
        <v>209</v>
      </c>
      <c r="F1566" s="281">
        <v>47</v>
      </c>
      <c r="G1566" s="229"/>
      <c r="H1566" s="230"/>
    </row>
    <row r="1567" spans="2:8">
      <c r="B1567" s="183" t="s">
        <v>1989</v>
      </c>
      <c r="C1567" s="198" t="s">
        <v>1855</v>
      </c>
      <c r="D1567" s="332" t="s">
        <v>1856</v>
      </c>
      <c r="E1567" s="206" t="s">
        <v>55</v>
      </c>
      <c r="F1567" s="281">
        <v>85</v>
      </c>
      <c r="G1567" s="229"/>
      <c r="H1567" s="230"/>
    </row>
    <row r="1568" spans="2:8">
      <c r="B1568" s="183" t="s">
        <v>1990</v>
      </c>
      <c r="C1568" s="198" t="s">
        <v>1893</v>
      </c>
      <c r="D1568" s="310" t="s">
        <v>1894</v>
      </c>
      <c r="E1568" s="206" t="s">
        <v>55</v>
      </c>
      <c r="F1568" s="281">
        <v>220</v>
      </c>
      <c r="G1568" s="229"/>
      <c r="H1568" s="230"/>
    </row>
    <row r="1569" spans="2:8" ht="25.5">
      <c r="B1569" s="183" t="s">
        <v>1991</v>
      </c>
      <c r="C1569" s="198" t="s">
        <v>1704</v>
      </c>
      <c r="D1569" s="332" t="s">
        <v>1896</v>
      </c>
      <c r="E1569" s="206" t="s">
        <v>1897</v>
      </c>
      <c r="F1569" s="281">
        <v>1</v>
      </c>
      <c r="G1569" s="229"/>
      <c r="H1569" s="230"/>
    </row>
    <row r="1570" spans="2:8" ht="51">
      <c r="B1570" s="183" t="s">
        <v>1992</v>
      </c>
      <c r="C1570" s="198" t="s">
        <v>1862</v>
      </c>
      <c r="D1570" s="310" t="s">
        <v>1863</v>
      </c>
      <c r="E1570" s="206" t="s">
        <v>209</v>
      </c>
      <c r="F1570" s="281">
        <v>91.5</v>
      </c>
      <c r="G1570" s="229"/>
      <c r="H1570" s="230"/>
    </row>
    <row r="1571" spans="2:8">
      <c r="B1571" s="183" t="s">
        <v>1993</v>
      </c>
      <c r="C1571" s="333"/>
      <c r="D1571" s="340" t="s">
        <v>264</v>
      </c>
      <c r="E1571" s="342"/>
      <c r="F1571" s="287"/>
      <c r="G1571" s="243"/>
      <c r="H1571" s="244"/>
    </row>
    <row r="1572" spans="2:8" ht="25.5">
      <c r="B1572" s="183" t="s">
        <v>1994</v>
      </c>
      <c r="C1572" s="198" t="s">
        <v>1848</v>
      </c>
      <c r="D1572" s="332" t="s">
        <v>1849</v>
      </c>
      <c r="E1572" s="206" t="s">
        <v>55</v>
      </c>
      <c r="F1572" s="281">
        <v>515</v>
      </c>
      <c r="G1572" s="229"/>
      <c r="H1572" s="235"/>
    </row>
    <row r="1573" spans="2:8" ht="25.5">
      <c r="B1573" s="183" t="s">
        <v>1995</v>
      </c>
      <c r="C1573" s="198" t="s">
        <v>1848</v>
      </c>
      <c r="D1573" s="310" t="s">
        <v>1890</v>
      </c>
      <c r="E1573" s="206" t="s">
        <v>209</v>
      </c>
      <c r="F1573" s="281">
        <v>47</v>
      </c>
      <c r="G1573" s="229"/>
      <c r="H1573" s="235"/>
    </row>
    <row r="1574" spans="2:8">
      <c r="B1574" s="183" t="s">
        <v>1996</v>
      </c>
      <c r="C1574" s="198" t="s">
        <v>1855</v>
      </c>
      <c r="D1574" s="332" t="s">
        <v>1856</v>
      </c>
      <c r="E1574" s="206" t="s">
        <v>55</v>
      </c>
      <c r="F1574" s="281">
        <v>100</v>
      </c>
      <c r="G1574" s="229"/>
      <c r="H1574" s="235"/>
    </row>
    <row r="1575" spans="2:8">
      <c r="B1575" s="183" t="s">
        <v>1997</v>
      </c>
      <c r="C1575" s="198" t="s">
        <v>1893</v>
      </c>
      <c r="D1575" s="367" t="s">
        <v>1894</v>
      </c>
      <c r="E1575" s="206" t="s">
        <v>55</v>
      </c>
      <c r="F1575" s="281">
        <v>220</v>
      </c>
      <c r="G1575" s="229"/>
      <c r="H1575" s="235"/>
    </row>
    <row r="1576" spans="2:8" ht="25.5">
      <c r="B1576" s="183" t="s">
        <v>1998</v>
      </c>
      <c r="C1576" s="198" t="s">
        <v>1704</v>
      </c>
      <c r="D1576" s="332" t="s">
        <v>1896</v>
      </c>
      <c r="E1576" s="206" t="s">
        <v>1897</v>
      </c>
      <c r="F1576" s="281">
        <v>1</v>
      </c>
      <c r="G1576" s="229"/>
      <c r="H1576" s="235"/>
    </row>
    <row r="1577" spans="2:8" ht="51">
      <c r="B1577" s="183" t="s">
        <v>1999</v>
      </c>
      <c r="C1577" s="198" t="s">
        <v>1862</v>
      </c>
      <c r="D1577" s="310" t="s">
        <v>1863</v>
      </c>
      <c r="E1577" s="206" t="s">
        <v>209</v>
      </c>
      <c r="F1577" s="281">
        <v>91.5</v>
      </c>
      <c r="G1577" s="229"/>
      <c r="H1577" s="235"/>
    </row>
    <row r="1578" spans="2:8">
      <c r="B1578" s="183" t="s">
        <v>2000</v>
      </c>
      <c r="C1578" s="333"/>
      <c r="D1578" s="340" t="s">
        <v>272</v>
      </c>
      <c r="E1578" s="342"/>
      <c r="F1578" s="287"/>
      <c r="G1578" s="243"/>
      <c r="H1578" s="244"/>
    </row>
    <row r="1579" spans="2:8" ht="25.5">
      <c r="B1579" s="183" t="s">
        <v>2001</v>
      </c>
      <c r="C1579" s="198" t="s">
        <v>1848</v>
      </c>
      <c r="D1579" s="332" t="s">
        <v>1849</v>
      </c>
      <c r="E1579" s="206" t="s">
        <v>55</v>
      </c>
      <c r="F1579" s="281">
        <v>515</v>
      </c>
      <c r="G1579" s="229"/>
      <c r="H1579" s="235"/>
    </row>
    <row r="1580" spans="2:8" ht="25.5">
      <c r="B1580" s="183" t="s">
        <v>2002</v>
      </c>
      <c r="C1580" s="198" t="s">
        <v>1848</v>
      </c>
      <c r="D1580" s="310" t="s">
        <v>1890</v>
      </c>
      <c r="E1580" s="206" t="s">
        <v>209</v>
      </c>
      <c r="F1580" s="281">
        <v>47</v>
      </c>
      <c r="G1580" s="229"/>
      <c r="H1580" s="235"/>
    </row>
    <row r="1581" spans="2:8">
      <c r="B1581" s="183" t="s">
        <v>2003</v>
      </c>
      <c r="C1581" s="198" t="s">
        <v>1855</v>
      </c>
      <c r="D1581" s="332" t="s">
        <v>1856</v>
      </c>
      <c r="E1581" s="206" t="s">
        <v>55</v>
      </c>
      <c r="F1581" s="281">
        <v>110</v>
      </c>
      <c r="G1581" s="229"/>
      <c r="H1581" s="235"/>
    </row>
    <row r="1582" spans="2:8">
      <c r="B1582" s="183" t="s">
        <v>2004</v>
      </c>
      <c r="C1582" s="198" t="s">
        <v>1893</v>
      </c>
      <c r="D1582" s="367" t="s">
        <v>1894</v>
      </c>
      <c r="E1582" s="206" t="s">
        <v>55</v>
      </c>
      <c r="F1582" s="281">
        <v>250</v>
      </c>
      <c r="G1582" s="229"/>
      <c r="H1582" s="235"/>
    </row>
    <row r="1583" spans="2:8" ht="25.5">
      <c r="B1583" s="183" t="s">
        <v>2005</v>
      </c>
      <c r="C1583" s="198" t="s">
        <v>1704</v>
      </c>
      <c r="D1583" s="332" t="s">
        <v>1896</v>
      </c>
      <c r="E1583" s="206" t="s">
        <v>1897</v>
      </c>
      <c r="F1583" s="281">
        <v>1</v>
      </c>
      <c r="G1583" s="229"/>
      <c r="H1583" s="235"/>
    </row>
    <row r="1584" spans="2:8" ht="51">
      <c r="B1584" s="183" t="s">
        <v>2006</v>
      </c>
      <c r="C1584" s="198" t="s">
        <v>1862</v>
      </c>
      <c r="D1584" s="310" t="s">
        <v>1863</v>
      </c>
      <c r="E1584" s="206" t="s">
        <v>209</v>
      </c>
      <c r="F1584" s="281">
        <v>91.5</v>
      </c>
      <c r="G1584" s="229"/>
      <c r="H1584" s="235"/>
    </row>
    <row r="1585" spans="2:8">
      <c r="B1585" s="183" t="s">
        <v>2007</v>
      </c>
      <c r="C1585" s="333"/>
      <c r="D1585" s="340" t="s">
        <v>279</v>
      </c>
      <c r="E1585" s="342"/>
      <c r="F1585" s="287"/>
      <c r="G1585" s="243"/>
      <c r="H1585" s="244"/>
    </row>
    <row r="1586" spans="2:8" ht="25.5">
      <c r="B1586" s="183" t="s">
        <v>2008</v>
      </c>
      <c r="C1586" s="198" t="s">
        <v>1848</v>
      </c>
      <c r="D1586" s="332" t="s">
        <v>1849</v>
      </c>
      <c r="E1586" s="206" t="s">
        <v>55</v>
      </c>
      <c r="F1586" s="281">
        <v>515</v>
      </c>
      <c r="G1586" s="229"/>
      <c r="H1586" s="235"/>
    </row>
    <row r="1587" spans="2:8" ht="25.5">
      <c r="B1587" s="183" t="s">
        <v>2009</v>
      </c>
      <c r="C1587" s="198" t="s">
        <v>1848</v>
      </c>
      <c r="D1587" s="310" t="s">
        <v>1890</v>
      </c>
      <c r="E1587" s="206" t="s">
        <v>209</v>
      </c>
      <c r="F1587" s="281">
        <v>47</v>
      </c>
      <c r="G1587" s="229"/>
      <c r="H1587" s="235"/>
    </row>
    <row r="1588" spans="2:8">
      <c r="B1588" s="183" t="s">
        <v>2010</v>
      </c>
      <c r="C1588" s="198" t="s">
        <v>1855</v>
      </c>
      <c r="D1588" s="332" t="s">
        <v>1856</v>
      </c>
      <c r="E1588" s="206" t="s">
        <v>55</v>
      </c>
      <c r="F1588" s="281">
        <v>110</v>
      </c>
      <c r="G1588" s="229"/>
      <c r="H1588" s="235"/>
    </row>
    <row r="1589" spans="2:8">
      <c r="B1589" s="183" t="s">
        <v>2011</v>
      </c>
      <c r="C1589" s="198" t="s">
        <v>1893</v>
      </c>
      <c r="D1589" s="367" t="s">
        <v>1894</v>
      </c>
      <c r="E1589" s="206" t="s">
        <v>55</v>
      </c>
      <c r="F1589" s="281">
        <v>250</v>
      </c>
      <c r="G1589" s="229"/>
      <c r="H1589" s="235"/>
    </row>
    <row r="1590" spans="2:8" ht="25.5">
      <c r="B1590" s="183" t="s">
        <v>2012</v>
      </c>
      <c r="C1590" s="198" t="s">
        <v>1704</v>
      </c>
      <c r="D1590" s="332" t="s">
        <v>1896</v>
      </c>
      <c r="E1590" s="206" t="s">
        <v>1897</v>
      </c>
      <c r="F1590" s="281">
        <v>1</v>
      </c>
      <c r="G1590" s="229"/>
      <c r="H1590" s="235"/>
    </row>
    <row r="1591" spans="2:8" ht="51">
      <c r="B1591" s="183" t="s">
        <v>2013</v>
      </c>
      <c r="C1591" s="198" t="s">
        <v>1862</v>
      </c>
      <c r="D1591" s="310" t="s">
        <v>1863</v>
      </c>
      <c r="E1591" s="206" t="s">
        <v>209</v>
      </c>
      <c r="F1591" s="281">
        <v>91.5</v>
      </c>
      <c r="G1591" s="229"/>
      <c r="H1591" s="235"/>
    </row>
    <row r="1592" spans="2:8">
      <c r="B1592" s="183" t="s">
        <v>2014</v>
      </c>
      <c r="C1592" s="198"/>
      <c r="D1592" s="334" t="s">
        <v>1147</v>
      </c>
      <c r="E1592" s="331"/>
      <c r="F1592" s="291"/>
      <c r="G1592" s="243"/>
      <c r="H1592" s="242"/>
    </row>
    <row r="1593" spans="2:8" ht="25.5">
      <c r="B1593" s="183" t="s">
        <v>2015</v>
      </c>
      <c r="C1593" s="198" t="s">
        <v>1848</v>
      </c>
      <c r="D1593" s="332" t="s">
        <v>1849</v>
      </c>
      <c r="E1593" s="206" t="s">
        <v>55</v>
      </c>
      <c r="F1593" s="281">
        <v>350</v>
      </c>
      <c r="G1593" s="229"/>
      <c r="H1593" s="235"/>
    </row>
    <row r="1594" spans="2:8">
      <c r="B1594" s="183" t="s">
        <v>2016</v>
      </c>
      <c r="C1594" s="198" t="s">
        <v>1855</v>
      </c>
      <c r="D1594" s="332" t="s">
        <v>1856</v>
      </c>
      <c r="E1594" s="206" t="s">
        <v>55</v>
      </c>
      <c r="F1594" s="281">
        <v>300</v>
      </c>
      <c r="G1594" s="229"/>
      <c r="H1594" s="235"/>
    </row>
    <row r="1595" spans="2:8" ht="25.5">
      <c r="B1595" s="183" t="s">
        <v>2017</v>
      </c>
      <c r="C1595" s="198" t="s">
        <v>1848</v>
      </c>
      <c r="D1595" s="310" t="s">
        <v>1890</v>
      </c>
      <c r="E1595" s="206" t="s">
        <v>209</v>
      </c>
      <c r="F1595" s="281">
        <v>47</v>
      </c>
      <c r="G1595" s="229"/>
      <c r="H1595" s="235"/>
    </row>
    <row r="1596" spans="2:8" ht="15">
      <c r="B1596" s="186" t="s">
        <v>2018</v>
      </c>
      <c r="C1596" s="312"/>
      <c r="D1596" s="313" t="s">
        <v>112</v>
      </c>
      <c r="E1596" s="314"/>
      <c r="F1596" s="283"/>
      <c r="G1596" s="233"/>
      <c r="H1596" s="234"/>
    </row>
    <row r="1597" spans="2:8">
      <c r="B1597" s="183" t="s">
        <v>2019</v>
      </c>
      <c r="C1597" s="198"/>
      <c r="D1597" s="332" t="s">
        <v>2020</v>
      </c>
      <c r="E1597" s="198"/>
      <c r="F1597" s="281"/>
      <c r="G1597" s="229"/>
      <c r="H1597" s="235"/>
    </row>
    <row r="1598" spans="2:8" ht="25.5">
      <c r="B1598" s="183" t="s">
        <v>2021</v>
      </c>
      <c r="C1598" s="198" t="s">
        <v>1848</v>
      </c>
      <c r="D1598" s="332" t="s">
        <v>1849</v>
      </c>
      <c r="E1598" s="187" t="s">
        <v>55</v>
      </c>
      <c r="F1598" s="281">
        <v>1480</v>
      </c>
      <c r="G1598" s="229"/>
      <c r="H1598" s="235"/>
    </row>
    <row r="1599" spans="2:8">
      <c r="B1599" s="183" t="s">
        <v>2022</v>
      </c>
      <c r="C1599" s="198" t="s">
        <v>1848</v>
      </c>
      <c r="D1599" s="310" t="s">
        <v>1860</v>
      </c>
      <c r="E1599" s="198" t="s">
        <v>55</v>
      </c>
      <c r="F1599" s="281">
        <v>143</v>
      </c>
      <c r="G1599" s="229"/>
      <c r="H1599" s="235"/>
    </row>
    <row r="1600" spans="2:8" ht="25.5">
      <c r="B1600" s="183" t="s">
        <v>2023</v>
      </c>
      <c r="C1600" s="198" t="s">
        <v>1848</v>
      </c>
      <c r="D1600" s="310" t="s">
        <v>1890</v>
      </c>
      <c r="E1600" s="206" t="s">
        <v>209</v>
      </c>
      <c r="F1600" s="281">
        <v>60</v>
      </c>
      <c r="G1600" s="229"/>
      <c r="H1600" s="235"/>
    </row>
    <row r="1601" spans="2:8">
      <c r="B1601" s="183" t="s">
        <v>2024</v>
      </c>
      <c r="C1601" s="198" t="s">
        <v>1855</v>
      </c>
      <c r="D1601" s="332" t="s">
        <v>1856</v>
      </c>
      <c r="E1601" s="198" t="s">
        <v>55</v>
      </c>
      <c r="F1601" s="281">
        <v>570</v>
      </c>
      <c r="G1601" s="229"/>
      <c r="H1601" s="235"/>
    </row>
    <row r="1602" spans="2:8">
      <c r="B1602" s="183" t="s">
        <v>2025</v>
      </c>
      <c r="C1602" s="198" t="s">
        <v>1848</v>
      </c>
      <c r="D1602" s="332" t="s">
        <v>2026</v>
      </c>
      <c r="E1602" s="198" t="s">
        <v>55</v>
      </c>
      <c r="F1602" s="281">
        <v>400</v>
      </c>
      <c r="G1602" s="229"/>
      <c r="H1602" s="235"/>
    </row>
    <row r="1603" spans="2:8">
      <c r="B1603" s="183" t="s">
        <v>2027</v>
      </c>
      <c r="C1603" s="198" t="s">
        <v>1848</v>
      </c>
      <c r="D1603" s="310" t="s">
        <v>1860</v>
      </c>
      <c r="E1603" s="198" t="s">
        <v>55</v>
      </c>
      <c r="F1603" s="292">
        <v>143</v>
      </c>
      <c r="G1603" s="229"/>
      <c r="H1603" s="235"/>
    </row>
    <row r="1604" spans="2:8">
      <c r="B1604" s="183" t="s">
        <v>2028</v>
      </c>
      <c r="C1604" s="198"/>
      <c r="D1604" s="332" t="s">
        <v>398</v>
      </c>
      <c r="E1604" s="198"/>
      <c r="F1604" s="281"/>
      <c r="G1604" s="229"/>
      <c r="H1604" s="235"/>
    </row>
    <row r="1605" spans="2:8" ht="25.5">
      <c r="B1605" s="183" t="s">
        <v>2029</v>
      </c>
      <c r="C1605" s="198" t="s">
        <v>1848</v>
      </c>
      <c r="D1605" s="332" t="s">
        <v>1849</v>
      </c>
      <c r="E1605" s="187" t="s">
        <v>55</v>
      </c>
      <c r="F1605" s="292">
        <v>520</v>
      </c>
      <c r="G1605" s="245"/>
      <c r="H1605" s="270"/>
    </row>
    <row r="1606" spans="2:8">
      <c r="B1606" s="183" t="s">
        <v>2030</v>
      </c>
      <c r="C1606" s="198" t="s">
        <v>1848</v>
      </c>
      <c r="D1606" s="310" t="s">
        <v>1860</v>
      </c>
      <c r="E1606" s="198" t="s">
        <v>55</v>
      </c>
      <c r="F1606" s="292">
        <f>47+27</f>
        <v>74</v>
      </c>
      <c r="G1606" s="245"/>
      <c r="H1606" s="270"/>
    </row>
    <row r="1607" spans="2:8" ht="25.5">
      <c r="B1607" s="183" t="s">
        <v>2031</v>
      </c>
      <c r="C1607" s="198" t="s">
        <v>1848</v>
      </c>
      <c r="D1607" s="310" t="s">
        <v>1890</v>
      </c>
      <c r="E1607" s="206" t="s">
        <v>209</v>
      </c>
      <c r="F1607" s="292">
        <f>104+22</f>
        <v>126</v>
      </c>
      <c r="G1607" s="245"/>
      <c r="H1607" s="270"/>
    </row>
    <row r="1608" spans="2:8">
      <c r="B1608" s="183" t="s">
        <v>2032</v>
      </c>
      <c r="C1608" s="198" t="s">
        <v>1855</v>
      </c>
      <c r="D1608" s="332" t="s">
        <v>1856</v>
      </c>
      <c r="E1608" s="198" t="s">
        <v>55</v>
      </c>
      <c r="F1608" s="292">
        <v>160</v>
      </c>
      <c r="G1608" s="245"/>
      <c r="H1608" s="270"/>
    </row>
    <row r="1609" spans="2:8">
      <c r="B1609" s="183" t="s">
        <v>2033</v>
      </c>
      <c r="C1609" s="198" t="s">
        <v>1704</v>
      </c>
      <c r="D1609" s="332" t="s">
        <v>2034</v>
      </c>
      <c r="E1609" s="206" t="s">
        <v>55</v>
      </c>
      <c r="F1609" s="292">
        <v>230</v>
      </c>
      <c r="G1609" s="245"/>
      <c r="H1609" s="270"/>
    </row>
    <row r="1610" spans="2:8">
      <c r="B1610" s="183" t="s">
        <v>2035</v>
      </c>
      <c r="C1610" s="198" t="s">
        <v>1704</v>
      </c>
      <c r="D1610" s="310" t="s">
        <v>2036</v>
      </c>
      <c r="E1610" s="198" t="s">
        <v>99</v>
      </c>
      <c r="F1610" s="292">
        <v>14</v>
      </c>
      <c r="G1610" s="245"/>
      <c r="H1610" s="270"/>
    </row>
    <row r="1611" spans="2:8" ht="25.5">
      <c r="B1611" s="183" t="s">
        <v>2037</v>
      </c>
      <c r="C1611" s="198" t="s">
        <v>1704</v>
      </c>
      <c r="D1611" s="332" t="s">
        <v>2038</v>
      </c>
      <c r="E1611" s="206" t="s">
        <v>55</v>
      </c>
      <c r="F1611" s="292">
        <v>102</v>
      </c>
      <c r="G1611" s="245"/>
      <c r="H1611" s="270"/>
    </row>
    <row r="1612" spans="2:8" ht="14.25">
      <c r="B1612" s="186" t="s">
        <v>2039</v>
      </c>
      <c r="C1612" s="323"/>
      <c r="D1612" s="324" t="s">
        <v>407</v>
      </c>
      <c r="E1612" s="325"/>
      <c r="F1612" s="286"/>
      <c r="G1612" s="238"/>
      <c r="H1612" s="239"/>
    </row>
    <row r="1613" spans="2:8">
      <c r="B1613" s="207" t="s">
        <v>2040</v>
      </c>
      <c r="C1613" s="198"/>
      <c r="D1613" s="310" t="s">
        <v>818</v>
      </c>
      <c r="E1613" s="198"/>
      <c r="F1613" s="292"/>
      <c r="G1613" s="245"/>
      <c r="H1613" s="270"/>
    </row>
    <row r="1614" spans="2:8" ht="25.5">
      <c r="B1614" s="207" t="s">
        <v>2041</v>
      </c>
      <c r="C1614" s="198" t="s">
        <v>1848</v>
      </c>
      <c r="D1614" s="332" t="s">
        <v>1849</v>
      </c>
      <c r="E1614" s="206" t="s">
        <v>55</v>
      </c>
      <c r="F1614" s="292">
        <v>715</v>
      </c>
      <c r="G1614" s="245"/>
      <c r="H1614" s="270"/>
    </row>
    <row r="1615" spans="2:8">
      <c r="B1615" s="207" t="s">
        <v>2042</v>
      </c>
      <c r="C1615" s="198" t="s">
        <v>1855</v>
      </c>
      <c r="D1615" s="332" t="s">
        <v>1856</v>
      </c>
      <c r="E1615" s="198" t="s">
        <v>55</v>
      </c>
      <c r="F1615" s="292">
        <v>308</v>
      </c>
      <c r="G1615" s="245"/>
      <c r="H1615" s="270"/>
    </row>
    <row r="1616" spans="2:8">
      <c r="B1616" s="207" t="s">
        <v>2043</v>
      </c>
      <c r="C1616" s="198" t="s">
        <v>1848</v>
      </c>
      <c r="D1616" s="310" t="s">
        <v>1860</v>
      </c>
      <c r="E1616" s="198" t="s">
        <v>55</v>
      </c>
      <c r="F1616" s="292">
        <v>98</v>
      </c>
      <c r="G1616" s="245"/>
      <c r="H1616" s="270"/>
    </row>
    <row r="1617" spans="2:8" ht="25.5">
      <c r="B1617" s="207" t="s">
        <v>2044</v>
      </c>
      <c r="C1617" s="198" t="s">
        <v>1848</v>
      </c>
      <c r="D1617" s="310" t="s">
        <v>1890</v>
      </c>
      <c r="E1617" s="206" t="s">
        <v>55</v>
      </c>
      <c r="F1617" s="292">
        <v>63</v>
      </c>
      <c r="G1617" s="245"/>
      <c r="H1617" s="270"/>
    </row>
    <row r="1618" spans="2:8">
      <c r="B1618" s="207" t="s">
        <v>2045</v>
      </c>
      <c r="C1618" s="198"/>
      <c r="D1618" s="310" t="s">
        <v>121</v>
      </c>
      <c r="E1618" s="198"/>
      <c r="F1618" s="292"/>
      <c r="G1618" s="245"/>
      <c r="H1618" s="270"/>
    </row>
    <row r="1619" spans="2:8" ht="25.5">
      <c r="B1619" s="207" t="s">
        <v>2046</v>
      </c>
      <c r="C1619" s="198" t="s">
        <v>1848</v>
      </c>
      <c r="D1619" s="332" t="s">
        <v>1849</v>
      </c>
      <c r="E1619" s="206" t="s">
        <v>55</v>
      </c>
      <c r="F1619" s="292">
        <v>391</v>
      </c>
      <c r="G1619" s="245"/>
      <c r="H1619" s="270"/>
    </row>
    <row r="1620" spans="2:8" ht="25.5">
      <c r="B1620" s="207" t="s">
        <v>2047</v>
      </c>
      <c r="C1620" s="198" t="s">
        <v>1848</v>
      </c>
      <c r="D1620" s="310" t="s">
        <v>2048</v>
      </c>
      <c r="E1620" s="198" t="s">
        <v>55</v>
      </c>
      <c r="F1620" s="292">
        <v>152</v>
      </c>
      <c r="G1620" s="245"/>
      <c r="H1620" s="270"/>
    </row>
    <row r="1621" spans="2:8">
      <c r="B1621" s="207" t="s">
        <v>2049</v>
      </c>
      <c r="C1621" s="198"/>
      <c r="D1621" s="310" t="s">
        <v>419</v>
      </c>
      <c r="E1621" s="198"/>
      <c r="F1621" s="292"/>
      <c r="G1621" s="245"/>
      <c r="H1621" s="270"/>
    </row>
    <row r="1622" spans="2:8">
      <c r="B1622" s="207" t="s">
        <v>2050</v>
      </c>
      <c r="C1622" s="198" t="s">
        <v>1848</v>
      </c>
      <c r="D1622" s="310" t="s">
        <v>2051</v>
      </c>
      <c r="E1622" s="198" t="s">
        <v>55</v>
      </c>
      <c r="F1622" s="292">
        <v>55</v>
      </c>
      <c r="G1622" s="245"/>
      <c r="H1622" s="270"/>
    </row>
    <row r="1623" spans="2:8" ht="26.25" thickBot="1">
      <c r="B1623" s="207" t="s">
        <v>2052</v>
      </c>
      <c r="C1623" s="198" t="s">
        <v>1848</v>
      </c>
      <c r="D1623" s="310" t="s">
        <v>2048</v>
      </c>
      <c r="E1623" s="198" t="s">
        <v>55</v>
      </c>
      <c r="F1623" s="292">
        <v>48</v>
      </c>
      <c r="G1623" s="245"/>
      <c r="H1623" s="270"/>
    </row>
    <row r="1624" spans="2:8" ht="16.5" thickBot="1">
      <c r="B1624" s="479" t="s">
        <v>2053</v>
      </c>
      <c r="C1624" s="480" t="s">
        <v>2054</v>
      </c>
      <c r="D1624" s="481" t="s">
        <v>2055</v>
      </c>
      <c r="E1624" s="482"/>
      <c r="F1624" s="483"/>
      <c r="G1624" s="493"/>
      <c r="H1624" s="280"/>
    </row>
    <row r="1625" spans="2:8" ht="15">
      <c r="B1625" s="486" t="s">
        <v>2056</v>
      </c>
      <c r="C1625" s="487"/>
      <c r="D1625" s="488" t="s">
        <v>1360</v>
      </c>
      <c r="E1625" s="489"/>
      <c r="F1625" s="490"/>
      <c r="G1625" s="491"/>
      <c r="H1625" s="492"/>
    </row>
    <row r="1626" spans="2:8">
      <c r="B1626" s="183" t="s">
        <v>2057</v>
      </c>
      <c r="C1626" s="198"/>
      <c r="D1626" s="332" t="s">
        <v>2058</v>
      </c>
      <c r="E1626" s="198" t="s">
        <v>99</v>
      </c>
      <c r="F1626" s="281">
        <v>1</v>
      </c>
      <c r="G1626" s="229"/>
      <c r="H1626" s="230"/>
    </row>
    <row r="1627" spans="2:8">
      <c r="B1627" s="183" t="s">
        <v>2059</v>
      </c>
      <c r="C1627" s="198"/>
      <c r="D1627" s="332" t="s">
        <v>2060</v>
      </c>
      <c r="E1627" s="198" t="s">
        <v>99</v>
      </c>
      <c r="F1627" s="281">
        <v>1</v>
      </c>
      <c r="G1627" s="229"/>
      <c r="H1627" s="230"/>
    </row>
    <row r="1628" spans="2:8">
      <c r="B1628" s="183" t="s">
        <v>2061</v>
      </c>
      <c r="C1628" s="198"/>
      <c r="D1628" s="332" t="s">
        <v>2062</v>
      </c>
      <c r="E1628" s="198" t="s">
        <v>99</v>
      </c>
      <c r="F1628" s="281">
        <v>2</v>
      </c>
      <c r="G1628" s="265"/>
      <c r="H1628" s="269"/>
    </row>
    <row r="1629" spans="2:8">
      <c r="B1629" s="183" t="s">
        <v>2063</v>
      </c>
      <c r="C1629" s="198"/>
      <c r="D1629" s="332" t="s">
        <v>2064</v>
      </c>
      <c r="E1629" s="198" t="s">
        <v>99</v>
      </c>
      <c r="F1629" s="281">
        <v>2</v>
      </c>
      <c r="G1629" s="229"/>
      <c r="H1629" s="230"/>
    </row>
    <row r="1630" spans="2:8">
      <c r="B1630" s="183" t="s">
        <v>2065</v>
      </c>
      <c r="C1630" s="198"/>
      <c r="D1630" s="332" t="s">
        <v>2066</v>
      </c>
      <c r="E1630" s="198" t="s">
        <v>99</v>
      </c>
      <c r="F1630" s="281">
        <v>2</v>
      </c>
      <c r="G1630" s="229"/>
      <c r="H1630" s="230"/>
    </row>
    <row r="1631" spans="2:8" ht="15">
      <c r="B1631" s="186" t="s">
        <v>2067</v>
      </c>
      <c r="C1631" s="312"/>
      <c r="D1631" s="313" t="s">
        <v>1368</v>
      </c>
      <c r="E1631" s="314"/>
      <c r="F1631" s="283"/>
      <c r="G1631" s="233"/>
      <c r="H1631" s="234"/>
    </row>
    <row r="1632" spans="2:8">
      <c r="B1632" s="183" t="s">
        <v>2068</v>
      </c>
      <c r="C1632" s="198"/>
      <c r="D1632" s="332" t="s">
        <v>2069</v>
      </c>
      <c r="E1632" s="198" t="s">
        <v>99</v>
      </c>
      <c r="F1632" s="281">
        <v>1</v>
      </c>
      <c r="G1632" s="229"/>
      <c r="H1632" s="230"/>
    </row>
    <row r="1633" spans="2:8">
      <c r="B1633" s="183" t="s">
        <v>2070</v>
      </c>
      <c r="C1633" s="198"/>
      <c r="D1633" s="332" t="s">
        <v>2071</v>
      </c>
      <c r="E1633" s="198" t="s">
        <v>99</v>
      </c>
      <c r="F1633" s="281">
        <v>1</v>
      </c>
      <c r="G1633" s="229"/>
      <c r="H1633" s="230"/>
    </row>
    <row r="1634" spans="2:8">
      <c r="B1634" s="183" t="s">
        <v>2072</v>
      </c>
      <c r="C1634" s="198"/>
      <c r="D1634" s="332" t="s">
        <v>2073</v>
      </c>
      <c r="E1634" s="198" t="s">
        <v>99</v>
      </c>
      <c r="F1634" s="281">
        <v>1</v>
      </c>
      <c r="G1634" s="229"/>
      <c r="H1634" s="230"/>
    </row>
    <row r="1635" spans="2:8">
      <c r="B1635" s="183" t="s">
        <v>2074</v>
      </c>
      <c r="C1635" s="198"/>
      <c r="D1635" s="332" t="s">
        <v>2075</v>
      </c>
      <c r="E1635" s="198" t="s">
        <v>99</v>
      </c>
      <c r="F1635" s="281">
        <v>1</v>
      </c>
      <c r="G1635" s="229"/>
      <c r="H1635" s="230"/>
    </row>
    <row r="1636" spans="2:8">
      <c r="B1636" s="183" t="s">
        <v>2076</v>
      </c>
      <c r="C1636" s="198"/>
      <c r="D1636" s="332" t="s">
        <v>2077</v>
      </c>
      <c r="E1636" s="198" t="s">
        <v>99</v>
      </c>
      <c r="F1636" s="281">
        <v>1</v>
      </c>
      <c r="G1636" s="229"/>
      <c r="H1636" s="230"/>
    </row>
    <row r="1637" spans="2:8">
      <c r="B1637" s="183" t="s">
        <v>2078</v>
      </c>
      <c r="C1637" s="198"/>
      <c r="D1637" s="332" t="s">
        <v>2079</v>
      </c>
      <c r="E1637" s="198" t="s">
        <v>99</v>
      </c>
      <c r="F1637" s="281">
        <v>2</v>
      </c>
      <c r="G1637" s="229"/>
      <c r="H1637" s="230"/>
    </row>
    <row r="1638" spans="2:8">
      <c r="B1638" s="183" t="s">
        <v>2080</v>
      </c>
      <c r="C1638" s="198"/>
      <c r="D1638" s="332" t="s">
        <v>2081</v>
      </c>
      <c r="E1638" s="198" t="s">
        <v>99</v>
      </c>
      <c r="F1638" s="281">
        <v>1</v>
      </c>
      <c r="G1638" s="229"/>
      <c r="H1638" s="230"/>
    </row>
    <row r="1639" spans="2:8">
      <c r="B1639" s="183" t="s">
        <v>2082</v>
      </c>
      <c r="C1639" s="198"/>
      <c r="D1639" s="332" t="s">
        <v>2083</v>
      </c>
      <c r="E1639" s="198" t="s">
        <v>99</v>
      </c>
      <c r="F1639" s="281">
        <v>1</v>
      </c>
      <c r="G1639" s="229"/>
      <c r="H1639" s="230"/>
    </row>
    <row r="1640" spans="2:8">
      <c r="B1640" s="183" t="s">
        <v>2084</v>
      </c>
      <c r="C1640" s="198"/>
      <c r="D1640" s="332" t="s">
        <v>2085</v>
      </c>
      <c r="E1640" s="198" t="s">
        <v>99</v>
      </c>
      <c r="F1640" s="281">
        <v>1</v>
      </c>
      <c r="G1640" s="229"/>
      <c r="H1640" s="230"/>
    </row>
    <row r="1641" spans="2:8">
      <c r="B1641" s="183" t="s">
        <v>2086</v>
      </c>
      <c r="C1641" s="198"/>
      <c r="D1641" s="332" t="s">
        <v>2087</v>
      </c>
      <c r="E1641" s="198" t="s">
        <v>99</v>
      </c>
      <c r="F1641" s="281">
        <v>1</v>
      </c>
      <c r="G1641" s="229"/>
      <c r="H1641" s="230"/>
    </row>
    <row r="1642" spans="2:8">
      <c r="B1642" s="183" t="s">
        <v>2088</v>
      </c>
      <c r="C1642" s="198"/>
      <c r="D1642" s="332" t="s">
        <v>2089</v>
      </c>
      <c r="E1642" s="198" t="s">
        <v>99</v>
      </c>
      <c r="F1642" s="281">
        <v>1</v>
      </c>
      <c r="G1642" s="229"/>
      <c r="H1642" s="230"/>
    </row>
    <row r="1643" spans="2:8">
      <c r="B1643" s="183" t="s">
        <v>2090</v>
      </c>
      <c r="C1643" s="198"/>
      <c r="D1643" s="332" t="s">
        <v>2091</v>
      </c>
      <c r="E1643" s="198" t="s">
        <v>99</v>
      </c>
      <c r="F1643" s="281">
        <v>1</v>
      </c>
      <c r="G1643" s="229"/>
      <c r="H1643" s="230"/>
    </row>
    <row r="1644" spans="2:8">
      <c r="B1644" s="183" t="s">
        <v>2092</v>
      </c>
      <c r="C1644" s="198"/>
      <c r="D1644" s="332" t="s">
        <v>2093</v>
      </c>
      <c r="E1644" s="198" t="s">
        <v>99</v>
      </c>
      <c r="F1644" s="281">
        <v>1</v>
      </c>
      <c r="G1644" s="229"/>
      <c r="H1644" s="230"/>
    </row>
    <row r="1645" spans="2:8">
      <c r="B1645" s="183" t="s">
        <v>2094</v>
      </c>
      <c r="C1645" s="198"/>
      <c r="D1645" s="332" t="s">
        <v>2095</v>
      </c>
      <c r="E1645" s="198" t="s">
        <v>99</v>
      </c>
      <c r="F1645" s="281">
        <v>1</v>
      </c>
      <c r="G1645" s="229"/>
      <c r="H1645" s="230"/>
    </row>
    <row r="1646" spans="2:8">
      <c r="B1646" s="183" t="s">
        <v>2096</v>
      </c>
      <c r="C1646" s="198"/>
      <c r="D1646" s="332" t="s">
        <v>2097</v>
      </c>
      <c r="E1646" s="198" t="s">
        <v>99</v>
      </c>
      <c r="F1646" s="281">
        <v>1</v>
      </c>
      <c r="G1646" s="229"/>
      <c r="H1646" s="230"/>
    </row>
    <row r="1647" spans="2:8">
      <c r="B1647" s="183" t="s">
        <v>2098</v>
      </c>
      <c r="C1647" s="198"/>
      <c r="D1647" s="332" t="s">
        <v>2099</v>
      </c>
      <c r="E1647" s="198" t="s">
        <v>99</v>
      </c>
      <c r="F1647" s="281">
        <v>3</v>
      </c>
      <c r="G1647" s="229"/>
      <c r="H1647" s="230"/>
    </row>
    <row r="1648" spans="2:8">
      <c r="B1648" s="183" t="s">
        <v>2100</v>
      </c>
      <c r="C1648" s="198"/>
      <c r="D1648" s="332" t="s">
        <v>2101</v>
      </c>
      <c r="E1648" s="198" t="s">
        <v>99</v>
      </c>
      <c r="F1648" s="281">
        <v>3</v>
      </c>
      <c r="G1648" s="229"/>
      <c r="H1648" s="230"/>
    </row>
    <row r="1649" spans="2:8">
      <c r="B1649" s="183" t="s">
        <v>2102</v>
      </c>
      <c r="C1649" s="198"/>
      <c r="D1649" s="332" t="s">
        <v>2103</v>
      </c>
      <c r="E1649" s="198" t="s">
        <v>99</v>
      </c>
      <c r="F1649" s="281">
        <v>2</v>
      </c>
      <c r="G1649" s="229"/>
      <c r="H1649" s="230"/>
    </row>
    <row r="1650" spans="2:8">
      <c r="B1650" s="183" t="s">
        <v>2104</v>
      </c>
      <c r="C1650" s="198"/>
      <c r="D1650" s="332" t="s">
        <v>2105</v>
      </c>
      <c r="E1650" s="198" t="s">
        <v>99</v>
      </c>
      <c r="F1650" s="281">
        <v>1</v>
      </c>
      <c r="G1650" s="229"/>
      <c r="H1650" s="230"/>
    </row>
    <row r="1651" spans="2:8">
      <c r="B1651" s="183" t="s">
        <v>2106</v>
      </c>
      <c r="C1651" s="198"/>
      <c r="D1651" s="332" t="s">
        <v>2062</v>
      </c>
      <c r="E1651" s="198" t="s">
        <v>99</v>
      </c>
      <c r="F1651" s="281">
        <v>1</v>
      </c>
      <c r="G1651" s="229"/>
      <c r="H1651" s="230"/>
    </row>
    <row r="1652" spans="2:8">
      <c r="B1652" s="183" t="s">
        <v>2107</v>
      </c>
      <c r="C1652" s="198"/>
      <c r="D1652" s="332" t="s">
        <v>2108</v>
      </c>
      <c r="E1652" s="198" t="s">
        <v>99</v>
      </c>
      <c r="F1652" s="281">
        <v>1</v>
      </c>
      <c r="G1652" s="229"/>
      <c r="H1652" s="230"/>
    </row>
    <row r="1653" spans="2:8">
      <c r="B1653" s="183" t="s">
        <v>2109</v>
      </c>
      <c r="C1653" s="198"/>
      <c r="D1653" s="332" t="s">
        <v>2110</v>
      </c>
      <c r="E1653" s="198" t="s">
        <v>99</v>
      </c>
      <c r="F1653" s="281">
        <v>1</v>
      </c>
      <c r="G1653" s="229"/>
      <c r="H1653" s="230"/>
    </row>
    <row r="1654" spans="2:8">
      <c r="B1654" s="183" t="s">
        <v>2111</v>
      </c>
      <c r="C1654" s="198"/>
      <c r="D1654" s="332" t="s">
        <v>2112</v>
      </c>
      <c r="E1654" s="198" t="s">
        <v>99</v>
      </c>
      <c r="F1654" s="281">
        <v>1</v>
      </c>
      <c r="G1654" s="229"/>
      <c r="H1654" s="230"/>
    </row>
    <row r="1655" spans="2:8">
      <c r="B1655" s="183" t="s">
        <v>2113</v>
      </c>
      <c r="C1655" s="198"/>
      <c r="D1655" s="332" t="s">
        <v>2114</v>
      </c>
      <c r="E1655" s="198" t="s">
        <v>99</v>
      </c>
      <c r="F1655" s="281">
        <v>3</v>
      </c>
      <c r="G1655" s="229"/>
      <c r="H1655" s="230"/>
    </row>
    <row r="1656" spans="2:8">
      <c r="B1656" s="183" t="s">
        <v>2115</v>
      </c>
      <c r="C1656" s="198"/>
      <c r="D1656" s="332" t="s">
        <v>2116</v>
      </c>
      <c r="E1656" s="198" t="s">
        <v>99</v>
      </c>
      <c r="F1656" s="281">
        <v>7</v>
      </c>
      <c r="G1656" s="229"/>
      <c r="H1656" s="230"/>
    </row>
    <row r="1657" spans="2:8">
      <c r="B1657" s="183" t="s">
        <v>2117</v>
      </c>
      <c r="C1657" s="198"/>
      <c r="D1657" s="332" t="s">
        <v>2118</v>
      </c>
      <c r="E1657" s="198" t="s">
        <v>99</v>
      </c>
      <c r="F1657" s="281">
        <v>3</v>
      </c>
      <c r="G1657" s="229"/>
      <c r="H1657" s="230"/>
    </row>
    <row r="1658" spans="2:8">
      <c r="B1658" s="183" t="s">
        <v>2119</v>
      </c>
      <c r="C1658" s="198"/>
      <c r="D1658" s="332" t="s">
        <v>2120</v>
      </c>
      <c r="E1658" s="198" t="s">
        <v>99</v>
      </c>
      <c r="F1658" s="281">
        <v>1</v>
      </c>
      <c r="G1658" s="229"/>
      <c r="H1658" s="230"/>
    </row>
    <row r="1659" spans="2:8">
      <c r="B1659" s="183" t="s">
        <v>2121</v>
      </c>
      <c r="C1659" s="198"/>
      <c r="D1659" s="332" t="s">
        <v>2122</v>
      </c>
      <c r="E1659" s="198" t="s">
        <v>99</v>
      </c>
      <c r="F1659" s="281">
        <v>11</v>
      </c>
      <c r="G1659" s="229"/>
      <c r="H1659" s="230"/>
    </row>
    <row r="1660" spans="2:8">
      <c r="B1660" s="183" t="s">
        <v>2123</v>
      </c>
      <c r="C1660" s="198"/>
      <c r="D1660" s="332" t="s">
        <v>2124</v>
      </c>
      <c r="E1660" s="198" t="s">
        <v>99</v>
      </c>
      <c r="F1660" s="281">
        <v>1</v>
      </c>
      <c r="G1660" s="229"/>
      <c r="H1660" s="230"/>
    </row>
    <row r="1661" spans="2:8" ht="15">
      <c r="B1661" s="186" t="s">
        <v>2125</v>
      </c>
      <c r="C1661" s="312"/>
      <c r="D1661" s="313" t="s">
        <v>1381</v>
      </c>
      <c r="E1661" s="314"/>
      <c r="F1661" s="283"/>
      <c r="G1661" s="233"/>
      <c r="H1661" s="234"/>
    </row>
    <row r="1662" spans="2:8">
      <c r="B1662" s="183" t="s">
        <v>2126</v>
      </c>
      <c r="C1662" s="198"/>
      <c r="D1662" s="332" t="s">
        <v>2127</v>
      </c>
      <c r="E1662" s="198" t="s">
        <v>99</v>
      </c>
      <c r="F1662" s="281">
        <v>1</v>
      </c>
      <c r="G1662" s="229"/>
      <c r="H1662" s="230"/>
    </row>
    <row r="1663" spans="2:8">
      <c r="B1663" s="183" t="s">
        <v>2128</v>
      </c>
      <c r="C1663" s="198"/>
      <c r="D1663" s="332" t="s">
        <v>2129</v>
      </c>
      <c r="E1663" s="198" t="s">
        <v>99</v>
      </c>
      <c r="F1663" s="281">
        <v>1</v>
      </c>
      <c r="G1663" s="229"/>
      <c r="H1663" s="230"/>
    </row>
    <row r="1664" spans="2:8">
      <c r="B1664" s="183" t="s">
        <v>2130</v>
      </c>
      <c r="C1664" s="198"/>
      <c r="D1664" s="332" t="s">
        <v>2131</v>
      </c>
      <c r="E1664" s="198" t="s">
        <v>99</v>
      </c>
      <c r="F1664" s="281">
        <v>1</v>
      </c>
      <c r="G1664" s="229"/>
      <c r="H1664" s="230"/>
    </row>
    <row r="1665" spans="2:8">
      <c r="B1665" s="183" t="s">
        <v>2132</v>
      </c>
      <c r="C1665" s="198"/>
      <c r="D1665" s="332" t="s">
        <v>2133</v>
      </c>
      <c r="E1665" s="198" t="s">
        <v>99</v>
      </c>
      <c r="F1665" s="281">
        <v>1</v>
      </c>
      <c r="G1665" s="229"/>
      <c r="H1665" s="230"/>
    </row>
    <row r="1666" spans="2:8">
      <c r="B1666" s="183" t="s">
        <v>2134</v>
      </c>
      <c r="C1666" s="198"/>
      <c r="D1666" s="332" t="s">
        <v>2135</v>
      </c>
      <c r="E1666" s="198" t="s">
        <v>99</v>
      </c>
      <c r="F1666" s="281">
        <v>2</v>
      </c>
      <c r="G1666" s="229"/>
      <c r="H1666" s="230"/>
    </row>
    <row r="1667" spans="2:8">
      <c r="B1667" s="183" t="s">
        <v>2136</v>
      </c>
      <c r="C1667" s="198"/>
      <c r="D1667" s="332" t="s">
        <v>2137</v>
      </c>
      <c r="E1667" s="198" t="s">
        <v>99</v>
      </c>
      <c r="F1667" s="281">
        <v>1</v>
      </c>
      <c r="G1667" s="229"/>
      <c r="H1667" s="230"/>
    </row>
    <row r="1668" spans="2:8">
      <c r="B1668" s="183" t="s">
        <v>2138</v>
      </c>
      <c r="C1668" s="198"/>
      <c r="D1668" s="332" t="s">
        <v>2139</v>
      </c>
      <c r="E1668" s="198" t="s">
        <v>99</v>
      </c>
      <c r="F1668" s="281">
        <v>1</v>
      </c>
      <c r="G1668" s="229"/>
      <c r="H1668" s="230"/>
    </row>
    <row r="1669" spans="2:8">
      <c r="B1669" s="183" t="s">
        <v>2140</v>
      </c>
      <c r="C1669" s="198"/>
      <c r="D1669" s="332" t="s">
        <v>2141</v>
      </c>
      <c r="E1669" s="198" t="s">
        <v>99</v>
      </c>
      <c r="F1669" s="281">
        <v>1</v>
      </c>
      <c r="G1669" s="229"/>
      <c r="H1669" s="230"/>
    </row>
    <row r="1670" spans="2:8">
      <c r="B1670" s="183" t="s">
        <v>2142</v>
      </c>
      <c r="C1670" s="198"/>
      <c r="D1670" s="332" t="s">
        <v>2143</v>
      </c>
      <c r="E1670" s="198" t="s">
        <v>99</v>
      </c>
      <c r="F1670" s="281">
        <v>1</v>
      </c>
      <c r="G1670" s="229"/>
      <c r="H1670" s="230"/>
    </row>
    <row r="1671" spans="2:8">
      <c r="B1671" s="183" t="s">
        <v>2144</v>
      </c>
      <c r="C1671" s="198"/>
      <c r="D1671" s="332" t="s">
        <v>2145</v>
      </c>
      <c r="E1671" s="198" t="s">
        <v>99</v>
      </c>
      <c r="F1671" s="281">
        <v>1</v>
      </c>
      <c r="G1671" s="229"/>
      <c r="H1671" s="230"/>
    </row>
    <row r="1672" spans="2:8">
      <c r="B1672" s="183" t="s">
        <v>2146</v>
      </c>
      <c r="C1672" s="198"/>
      <c r="D1672" s="332" t="s">
        <v>2147</v>
      </c>
      <c r="E1672" s="198" t="s">
        <v>99</v>
      </c>
      <c r="F1672" s="281">
        <v>1</v>
      </c>
      <c r="G1672" s="229"/>
      <c r="H1672" s="230"/>
    </row>
    <row r="1673" spans="2:8">
      <c r="B1673" s="183" t="s">
        <v>2148</v>
      </c>
      <c r="C1673" s="198"/>
      <c r="D1673" s="332" t="s">
        <v>2105</v>
      </c>
      <c r="E1673" s="198" t="s">
        <v>99</v>
      </c>
      <c r="F1673" s="281">
        <v>2</v>
      </c>
      <c r="G1673" s="229"/>
      <c r="H1673" s="230"/>
    </row>
    <row r="1674" spans="2:8">
      <c r="B1674" s="183" t="s">
        <v>2149</v>
      </c>
      <c r="C1674" s="198"/>
      <c r="D1674" s="332" t="s">
        <v>2150</v>
      </c>
      <c r="E1674" s="198" t="s">
        <v>99</v>
      </c>
      <c r="F1674" s="281">
        <v>1</v>
      </c>
      <c r="G1674" s="229"/>
      <c r="H1674" s="230"/>
    </row>
    <row r="1675" spans="2:8">
      <c r="B1675" s="183" t="s">
        <v>2151</v>
      </c>
      <c r="C1675" s="198"/>
      <c r="D1675" s="332" t="s">
        <v>2152</v>
      </c>
      <c r="E1675" s="198" t="s">
        <v>99</v>
      </c>
      <c r="F1675" s="281">
        <v>1</v>
      </c>
      <c r="G1675" s="229"/>
      <c r="H1675" s="230"/>
    </row>
    <row r="1676" spans="2:8">
      <c r="B1676" s="183" t="s">
        <v>2153</v>
      </c>
      <c r="C1676" s="198"/>
      <c r="D1676" s="332" t="s">
        <v>2154</v>
      </c>
      <c r="E1676" s="198" t="s">
        <v>99</v>
      </c>
      <c r="F1676" s="281">
        <v>1</v>
      </c>
      <c r="G1676" s="229"/>
      <c r="H1676" s="230"/>
    </row>
    <row r="1677" spans="2:8">
      <c r="B1677" s="183" t="s">
        <v>2155</v>
      </c>
      <c r="C1677" s="198"/>
      <c r="D1677" s="332" t="s">
        <v>2156</v>
      </c>
      <c r="E1677" s="198" t="s">
        <v>99</v>
      </c>
      <c r="F1677" s="281">
        <v>1</v>
      </c>
      <c r="G1677" s="229"/>
      <c r="H1677" s="230"/>
    </row>
    <row r="1678" spans="2:8">
      <c r="B1678" s="183" t="s">
        <v>2157</v>
      </c>
      <c r="C1678" s="198"/>
      <c r="D1678" s="332" t="s">
        <v>2158</v>
      </c>
      <c r="E1678" s="198" t="s">
        <v>99</v>
      </c>
      <c r="F1678" s="281">
        <v>1</v>
      </c>
      <c r="G1678" s="229"/>
      <c r="H1678" s="230"/>
    </row>
    <row r="1679" spans="2:8">
      <c r="B1679" s="183" t="s">
        <v>2159</v>
      </c>
      <c r="C1679" s="198"/>
      <c r="D1679" s="332" t="s">
        <v>2114</v>
      </c>
      <c r="E1679" s="198" t="s">
        <v>99</v>
      </c>
      <c r="F1679" s="281">
        <v>1</v>
      </c>
      <c r="G1679" s="229"/>
      <c r="H1679" s="230"/>
    </row>
    <row r="1680" spans="2:8">
      <c r="B1680" s="183" t="s">
        <v>2160</v>
      </c>
      <c r="C1680" s="198"/>
      <c r="D1680" s="332" t="s">
        <v>2116</v>
      </c>
      <c r="E1680" s="198" t="s">
        <v>99</v>
      </c>
      <c r="F1680" s="281">
        <v>8</v>
      </c>
      <c r="G1680" s="229"/>
      <c r="H1680" s="230"/>
    </row>
    <row r="1681" spans="2:8">
      <c r="B1681" s="183" t="s">
        <v>2161</v>
      </c>
      <c r="C1681" s="198"/>
      <c r="D1681" s="332" t="s">
        <v>2162</v>
      </c>
      <c r="E1681" s="198" t="s">
        <v>99</v>
      </c>
      <c r="F1681" s="281">
        <v>4</v>
      </c>
      <c r="G1681" s="229"/>
      <c r="H1681" s="230"/>
    </row>
    <row r="1682" spans="2:8">
      <c r="B1682" s="183" t="s">
        <v>2163</v>
      </c>
      <c r="C1682" s="198"/>
      <c r="D1682" s="332" t="s">
        <v>2164</v>
      </c>
      <c r="E1682" s="198" t="s">
        <v>99</v>
      </c>
      <c r="F1682" s="281">
        <v>1</v>
      </c>
      <c r="G1682" s="229"/>
      <c r="H1682" s="230"/>
    </row>
    <row r="1683" spans="2:8">
      <c r="B1683" s="183" t="s">
        <v>2165</v>
      </c>
      <c r="C1683" s="198"/>
      <c r="D1683" s="332" t="s">
        <v>2166</v>
      </c>
      <c r="E1683" s="198" t="s">
        <v>99</v>
      </c>
      <c r="F1683" s="281">
        <v>1</v>
      </c>
      <c r="G1683" s="229"/>
      <c r="H1683" s="230"/>
    </row>
    <row r="1684" spans="2:8">
      <c r="B1684" s="183" t="s">
        <v>2167</v>
      </c>
      <c r="C1684" s="198"/>
      <c r="D1684" s="332" t="s">
        <v>2122</v>
      </c>
      <c r="E1684" s="198" t="s">
        <v>99</v>
      </c>
      <c r="F1684" s="281">
        <v>9</v>
      </c>
      <c r="G1684" s="229"/>
      <c r="H1684" s="230"/>
    </row>
    <row r="1685" spans="2:8">
      <c r="B1685" s="183" t="s">
        <v>2168</v>
      </c>
      <c r="C1685" s="198"/>
      <c r="D1685" s="332" t="s">
        <v>2124</v>
      </c>
      <c r="E1685" s="198" t="s">
        <v>99</v>
      </c>
      <c r="F1685" s="281">
        <v>1</v>
      </c>
      <c r="G1685" s="229"/>
      <c r="H1685" s="230"/>
    </row>
    <row r="1686" spans="2:8" ht="15">
      <c r="B1686" s="186" t="s">
        <v>2169</v>
      </c>
      <c r="C1686" s="312"/>
      <c r="D1686" s="313" t="s">
        <v>1393</v>
      </c>
      <c r="E1686" s="314"/>
      <c r="F1686" s="283"/>
      <c r="G1686" s="233"/>
      <c r="H1686" s="234"/>
    </row>
    <row r="1687" spans="2:8">
      <c r="B1687" s="183" t="s">
        <v>2170</v>
      </c>
      <c r="C1687" s="198"/>
      <c r="D1687" s="332" t="s">
        <v>2127</v>
      </c>
      <c r="E1687" s="198" t="s">
        <v>99</v>
      </c>
      <c r="F1687" s="281">
        <v>1</v>
      </c>
      <c r="G1687" s="229"/>
      <c r="H1687" s="230"/>
    </row>
    <row r="1688" spans="2:8">
      <c r="B1688" s="183" t="s">
        <v>2171</v>
      </c>
      <c r="C1688" s="198"/>
      <c r="D1688" s="332" t="s">
        <v>2129</v>
      </c>
      <c r="E1688" s="198" t="s">
        <v>99</v>
      </c>
      <c r="F1688" s="281">
        <v>1</v>
      </c>
      <c r="G1688" s="229"/>
      <c r="H1688" s="230"/>
    </row>
    <row r="1689" spans="2:8">
      <c r="B1689" s="183" t="s">
        <v>2172</v>
      </c>
      <c r="C1689" s="198"/>
      <c r="D1689" s="332" t="s">
        <v>2131</v>
      </c>
      <c r="E1689" s="198" t="s">
        <v>99</v>
      </c>
      <c r="F1689" s="281">
        <v>1</v>
      </c>
      <c r="G1689" s="229"/>
      <c r="H1689" s="230"/>
    </row>
    <row r="1690" spans="2:8">
      <c r="B1690" s="183" t="s">
        <v>2173</v>
      </c>
      <c r="C1690" s="198"/>
      <c r="D1690" s="332" t="s">
        <v>2105</v>
      </c>
      <c r="E1690" s="198" t="s">
        <v>99</v>
      </c>
      <c r="F1690" s="281">
        <v>2</v>
      </c>
      <c r="G1690" s="229"/>
      <c r="H1690" s="230"/>
    </row>
    <row r="1691" spans="2:8">
      <c r="B1691" s="183" t="s">
        <v>2174</v>
      </c>
      <c r="C1691" s="198"/>
      <c r="D1691" s="332" t="s">
        <v>2175</v>
      </c>
      <c r="E1691" s="198" t="s">
        <v>99</v>
      </c>
      <c r="F1691" s="281">
        <v>1</v>
      </c>
      <c r="G1691" s="229"/>
      <c r="H1691" s="230"/>
    </row>
    <row r="1692" spans="2:8">
      <c r="B1692" s="183" t="s">
        <v>2176</v>
      </c>
      <c r="C1692" s="198"/>
      <c r="D1692" s="332" t="s">
        <v>2114</v>
      </c>
      <c r="E1692" s="198" t="s">
        <v>99</v>
      </c>
      <c r="F1692" s="281">
        <v>2</v>
      </c>
      <c r="G1692" s="229"/>
      <c r="H1692" s="230"/>
    </row>
    <row r="1693" spans="2:8">
      <c r="B1693" s="183" t="s">
        <v>2177</v>
      </c>
      <c r="C1693" s="198"/>
      <c r="D1693" s="332" t="s">
        <v>2116</v>
      </c>
      <c r="E1693" s="198" t="s">
        <v>99</v>
      </c>
      <c r="F1693" s="281">
        <v>8</v>
      </c>
      <c r="G1693" s="229"/>
      <c r="H1693" s="230"/>
    </row>
    <row r="1694" spans="2:8">
      <c r="B1694" s="183" t="s">
        <v>2178</v>
      </c>
      <c r="C1694" s="198"/>
      <c r="D1694" s="332" t="s">
        <v>2162</v>
      </c>
      <c r="E1694" s="198" t="s">
        <v>99</v>
      </c>
      <c r="F1694" s="281">
        <v>5</v>
      </c>
      <c r="G1694" s="229"/>
      <c r="H1694" s="230"/>
    </row>
    <row r="1695" spans="2:8">
      <c r="B1695" s="183" t="s">
        <v>2179</v>
      </c>
      <c r="C1695" s="198"/>
      <c r="D1695" s="332" t="s">
        <v>2122</v>
      </c>
      <c r="E1695" s="198" t="s">
        <v>99</v>
      </c>
      <c r="F1695" s="281">
        <v>5</v>
      </c>
      <c r="G1695" s="229"/>
      <c r="H1695" s="230"/>
    </row>
    <row r="1696" spans="2:8" ht="15">
      <c r="B1696" s="186" t="s">
        <v>2180</v>
      </c>
      <c r="C1696" s="312"/>
      <c r="D1696" s="313" t="s">
        <v>1398</v>
      </c>
      <c r="E1696" s="314"/>
      <c r="F1696" s="283"/>
      <c r="G1696" s="233"/>
      <c r="H1696" s="234"/>
    </row>
    <row r="1697" spans="2:8">
      <c r="B1697" s="191" t="s">
        <v>2181</v>
      </c>
      <c r="C1697" s="198"/>
      <c r="D1697" s="332" t="s">
        <v>2127</v>
      </c>
      <c r="E1697" s="198" t="s">
        <v>99</v>
      </c>
      <c r="F1697" s="295">
        <v>1</v>
      </c>
      <c r="G1697" s="249"/>
      <c r="H1697" s="248"/>
    </row>
    <row r="1698" spans="2:8">
      <c r="B1698" s="191" t="s">
        <v>2182</v>
      </c>
      <c r="C1698" s="198"/>
      <c r="D1698" s="332" t="s">
        <v>2129</v>
      </c>
      <c r="E1698" s="198" t="s">
        <v>99</v>
      </c>
      <c r="F1698" s="281">
        <v>1</v>
      </c>
      <c r="G1698" s="229"/>
      <c r="H1698" s="235"/>
    </row>
    <row r="1699" spans="2:8">
      <c r="B1699" s="191" t="s">
        <v>2183</v>
      </c>
      <c r="C1699" s="198"/>
      <c r="D1699" s="332" t="s">
        <v>2131</v>
      </c>
      <c r="E1699" s="198" t="s">
        <v>99</v>
      </c>
      <c r="F1699" s="281">
        <v>1</v>
      </c>
      <c r="G1699" s="229"/>
      <c r="H1699" s="235"/>
    </row>
    <row r="1700" spans="2:8">
      <c r="B1700" s="191" t="s">
        <v>2184</v>
      </c>
      <c r="C1700" s="198"/>
      <c r="D1700" s="332" t="s">
        <v>2105</v>
      </c>
      <c r="E1700" s="198" t="s">
        <v>99</v>
      </c>
      <c r="F1700" s="281">
        <v>2</v>
      </c>
      <c r="G1700" s="229"/>
      <c r="H1700" s="235"/>
    </row>
    <row r="1701" spans="2:8">
      <c r="B1701" s="191" t="s">
        <v>2185</v>
      </c>
      <c r="C1701" s="198"/>
      <c r="D1701" s="332" t="s">
        <v>2114</v>
      </c>
      <c r="E1701" s="198" t="s">
        <v>99</v>
      </c>
      <c r="F1701" s="281">
        <v>1</v>
      </c>
      <c r="G1701" s="229"/>
      <c r="H1701" s="235"/>
    </row>
    <row r="1702" spans="2:8">
      <c r="B1702" s="191" t="s">
        <v>2186</v>
      </c>
      <c r="C1702" s="198"/>
      <c r="D1702" s="332" t="s">
        <v>2116</v>
      </c>
      <c r="E1702" s="198" t="s">
        <v>99</v>
      </c>
      <c r="F1702" s="281">
        <v>8</v>
      </c>
      <c r="G1702" s="229"/>
      <c r="H1702" s="235"/>
    </row>
    <row r="1703" spans="2:8">
      <c r="B1703" s="191" t="s">
        <v>2187</v>
      </c>
      <c r="C1703" s="198"/>
      <c r="D1703" s="332" t="s">
        <v>2188</v>
      </c>
      <c r="E1703" s="198" t="s">
        <v>99</v>
      </c>
      <c r="F1703" s="281">
        <v>8</v>
      </c>
      <c r="G1703" s="229"/>
      <c r="H1703" s="235"/>
    </row>
    <row r="1704" spans="2:8">
      <c r="B1704" s="191" t="s">
        <v>2189</v>
      </c>
      <c r="C1704" s="198"/>
      <c r="D1704" s="332" t="s">
        <v>2122</v>
      </c>
      <c r="E1704" s="198" t="s">
        <v>99</v>
      </c>
      <c r="F1704" s="281">
        <v>5</v>
      </c>
      <c r="G1704" s="229"/>
      <c r="H1704" s="235"/>
    </row>
    <row r="1705" spans="2:8">
      <c r="B1705" s="191" t="s">
        <v>2190</v>
      </c>
      <c r="C1705" s="198"/>
      <c r="D1705" s="332" t="s">
        <v>2124</v>
      </c>
      <c r="E1705" s="198" t="s">
        <v>99</v>
      </c>
      <c r="F1705" s="281">
        <v>1</v>
      </c>
      <c r="G1705" s="229"/>
      <c r="H1705" s="235"/>
    </row>
    <row r="1706" spans="2:8" ht="15">
      <c r="B1706" s="186" t="s">
        <v>2191</v>
      </c>
      <c r="C1706" s="312"/>
      <c r="D1706" s="313" t="s">
        <v>1404</v>
      </c>
      <c r="E1706" s="314"/>
      <c r="F1706" s="283"/>
      <c r="G1706" s="233"/>
      <c r="H1706" s="234"/>
    </row>
    <row r="1707" spans="2:8">
      <c r="B1707" s="183" t="s">
        <v>2192</v>
      </c>
      <c r="C1707" s="198"/>
      <c r="D1707" s="332" t="s">
        <v>2127</v>
      </c>
      <c r="E1707" s="198" t="s">
        <v>99</v>
      </c>
      <c r="F1707" s="295">
        <v>1</v>
      </c>
      <c r="G1707" s="229"/>
      <c r="H1707" s="235"/>
    </row>
    <row r="1708" spans="2:8">
      <c r="B1708" s="183" t="s">
        <v>2193</v>
      </c>
      <c r="C1708" s="198"/>
      <c r="D1708" s="332" t="s">
        <v>2129</v>
      </c>
      <c r="E1708" s="198" t="s">
        <v>99</v>
      </c>
      <c r="F1708" s="281">
        <v>1</v>
      </c>
      <c r="G1708" s="229"/>
      <c r="H1708" s="235"/>
    </row>
    <row r="1709" spans="2:8">
      <c r="B1709" s="183" t="s">
        <v>2194</v>
      </c>
      <c r="C1709" s="198"/>
      <c r="D1709" s="332" t="s">
        <v>2131</v>
      </c>
      <c r="E1709" s="198" t="s">
        <v>99</v>
      </c>
      <c r="F1709" s="281">
        <v>1</v>
      </c>
      <c r="G1709" s="229"/>
      <c r="H1709" s="235"/>
    </row>
    <row r="1710" spans="2:8">
      <c r="B1710" s="183" t="s">
        <v>2195</v>
      </c>
      <c r="C1710" s="198"/>
      <c r="D1710" s="332" t="s">
        <v>2105</v>
      </c>
      <c r="E1710" s="198" t="s">
        <v>99</v>
      </c>
      <c r="F1710" s="281">
        <v>2</v>
      </c>
      <c r="G1710" s="229"/>
      <c r="H1710" s="235"/>
    </row>
    <row r="1711" spans="2:8">
      <c r="B1711" s="183" t="s">
        <v>2196</v>
      </c>
      <c r="C1711" s="198"/>
      <c r="D1711" s="332" t="s">
        <v>2114</v>
      </c>
      <c r="E1711" s="198" t="s">
        <v>99</v>
      </c>
      <c r="F1711" s="281">
        <v>1</v>
      </c>
      <c r="G1711" s="229"/>
      <c r="H1711" s="235"/>
    </row>
    <row r="1712" spans="2:8">
      <c r="B1712" s="183" t="s">
        <v>2197</v>
      </c>
      <c r="C1712" s="198"/>
      <c r="D1712" s="332" t="s">
        <v>2116</v>
      </c>
      <c r="E1712" s="198" t="s">
        <v>99</v>
      </c>
      <c r="F1712" s="281">
        <v>8</v>
      </c>
      <c r="G1712" s="229"/>
      <c r="H1712" s="235"/>
    </row>
    <row r="1713" spans="2:8">
      <c r="B1713" s="183" t="s">
        <v>2198</v>
      </c>
      <c r="C1713" s="198"/>
      <c r="D1713" s="332" t="s">
        <v>2188</v>
      </c>
      <c r="E1713" s="198" t="s">
        <v>99</v>
      </c>
      <c r="F1713" s="281">
        <v>8</v>
      </c>
      <c r="G1713" s="229"/>
      <c r="H1713" s="235"/>
    </row>
    <row r="1714" spans="2:8">
      <c r="B1714" s="183" t="s">
        <v>2199</v>
      </c>
      <c r="C1714" s="198"/>
      <c r="D1714" s="332" t="s">
        <v>2122</v>
      </c>
      <c r="E1714" s="198" t="s">
        <v>99</v>
      </c>
      <c r="F1714" s="281">
        <v>5</v>
      </c>
      <c r="G1714" s="229"/>
      <c r="H1714" s="235"/>
    </row>
    <row r="1715" spans="2:8">
      <c r="B1715" s="183" t="s">
        <v>2200</v>
      </c>
      <c r="C1715" s="198"/>
      <c r="D1715" s="332" t="s">
        <v>2124</v>
      </c>
      <c r="E1715" s="198" t="s">
        <v>99</v>
      </c>
      <c r="F1715" s="281">
        <v>1</v>
      </c>
      <c r="G1715" s="229"/>
      <c r="H1715" s="235"/>
    </row>
    <row r="1716" spans="2:8" ht="15">
      <c r="B1716" s="186" t="s">
        <v>2201</v>
      </c>
      <c r="C1716" s="312"/>
      <c r="D1716" s="313" t="s">
        <v>1410</v>
      </c>
      <c r="E1716" s="314"/>
      <c r="F1716" s="283"/>
      <c r="G1716" s="233"/>
      <c r="H1716" s="234"/>
    </row>
    <row r="1717" spans="2:8">
      <c r="B1717" s="183" t="s">
        <v>2202</v>
      </c>
      <c r="C1717" s="198"/>
      <c r="D1717" s="332" t="s">
        <v>2127</v>
      </c>
      <c r="E1717" s="198" t="s">
        <v>99</v>
      </c>
      <c r="F1717" s="295">
        <v>1</v>
      </c>
      <c r="G1717" s="229"/>
      <c r="H1717" s="235"/>
    </row>
    <row r="1718" spans="2:8">
      <c r="B1718" s="183" t="s">
        <v>2203</v>
      </c>
      <c r="C1718" s="198"/>
      <c r="D1718" s="332" t="s">
        <v>2129</v>
      </c>
      <c r="E1718" s="198" t="s">
        <v>99</v>
      </c>
      <c r="F1718" s="281">
        <v>1</v>
      </c>
      <c r="G1718" s="229"/>
      <c r="H1718" s="235"/>
    </row>
    <row r="1719" spans="2:8">
      <c r="B1719" s="183" t="s">
        <v>2204</v>
      </c>
      <c r="C1719" s="198"/>
      <c r="D1719" s="332" t="s">
        <v>2131</v>
      </c>
      <c r="E1719" s="198" t="s">
        <v>99</v>
      </c>
      <c r="F1719" s="281">
        <v>1</v>
      </c>
      <c r="G1719" s="229"/>
      <c r="H1719" s="235"/>
    </row>
    <row r="1720" spans="2:8">
      <c r="B1720" s="183" t="s">
        <v>2205</v>
      </c>
      <c r="C1720" s="198"/>
      <c r="D1720" s="332" t="s">
        <v>2105</v>
      </c>
      <c r="E1720" s="198" t="s">
        <v>99</v>
      </c>
      <c r="F1720" s="281">
        <v>2</v>
      </c>
      <c r="G1720" s="229"/>
      <c r="H1720" s="235"/>
    </row>
    <row r="1721" spans="2:8">
      <c r="B1721" s="183" t="s">
        <v>2206</v>
      </c>
      <c r="C1721" s="198"/>
      <c r="D1721" s="332" t="s">
        <v>2207</v>
      </c>
      <c r="E1721" s="198" t="s">
        <v>99</v>
      </c>
      <c r="F1721" s="287">
        <v>1</v>
      </c>
      <c r="G1721" s="229"/>
      <c r="H1721" s="235"/>
    </row>
    <row r="1722" spans="2:8">
      <c r="B1722" s="183" t="s">
        <v>2208</v>
      </c>
      <c r="C1722" s="198"/>
      <c r="D1722" s="332" t="s">
        <v>2209</v>
      </c>
      <c r="E1722" s="198" t="s">
        <v>99</v>
      </c>
      <c r="F1722" s="287">
        <v>1</v>
      </c>
      <c r="G1722" s="229"/>
      <c r="H1722" s="235"/>
    </row>
    <row r="1723" spans="2:8">
      <c r="B1723" s="183" t="s">
        <v>2210</v>
      </c>
      <c r="C1723" s="198"/>
      <c r="D1723" s="332" t="s">
        <v>2211</v>
      </c>
      <c r="E1723" s="198" t="s">
        <v>99</v>
      </c>
      <c r="F1723" s="287">
        <v>2</v>
      </c>
      <c r="G1723" s="229"/>
      <c r="H1723" s="235"/>
    </row>
    <row r="1724" spans="2:8">
      <c r="B1724" s="183" t="s">
        <v>2212</v>
      </c>
      <c r="C1724" s="198"/>
      <c r="D1724" s="332" t="s">
        <v>2213</v>
      </c>
      <c r="E1724" s="198" t="s">
        <v>99</v>
      </c>
      <c r="F1724" s="287">
        <v>9</v>
      </c>
      <c r="G1724" s="229"/>
      <c r="H1724" s="235"/>
    </row>
    <row r="1725" spans="2:8">
      <c r="B1725" s="183" t="s">
        <v>2214</v>
      </c>
      <c r="C1725" s="198"/>
      <c r="D1725" s="332" t="s">
        <v>2116</v>
      </c>
      <c r="E1725" s="198" t="s">
        <v>99</v>
      </c>
      <c r="F1725" s="287">
        <v>4</v>
      </c>
      <c r="G1725" s="229"/>
      <c r="H1725" s="235"/>
    </row>
    <row r="1726" spans="2:8">
      <c r="B1726" s="183" t="s">
        <v>2215</v>
      </c>
      <c r="C1726" s="198"/>
      <c r="D1726" s="332" t="s">
        <v>2188</v>
      </c>
      <c r="E1726" s="198" t="s">
        <v>99</v>
      </c>
      <c r="F1726" s="287">
        <v>4</v>
      </c>
      <c r="G1726" s="229"/>
      <c r="H1726" s="235"/>
    </row>
    <row r="1727" spans="2:8">
      <c r="B1727" s="183" t="s">
        <v>2216</v>
      </c>
      <c r="C1727" s="198"/>
      <c r="D1727" s="332" t="s">
        <v>2217</v>
      </c>
      <c r="E1727" s="198" t="s">
        <v>99</v>
      </c>
      <c r="F1727" s="287">
        <v>1</v>
      </c>
      <c r="G1727" s="229"/>
      <c r="H1727" s="235"/>
    </row>
    <row r="1728" spans="2:8">
      <c r="B1728" s="183" t="s">
        <v>2218</v>
      </c>
      <c r="C1728" s="198"/>
      <c r="D1728" s="332" t="s">
        <v>2122</v>
      </c>
      <c r="E1728" s="198" t="s">
        <v>99</v>
      </c>
      <c r="F1728" s="281">
        <v>5</v>
      </c>
      <c r="G1728" s="229"/>
      <c r="H1728" s="235"/>
    </row>
    <row r="1729" spans="2:8">
      <c r="B1729" s="183" t="s">
        <v>2219</v>
      </c>
      <c r="C1729" s="198"/>
      <c r="D1729" s="332" t="s">
        <v>2124</v>
      </c>
      <c r="E1729" s="198" t="s">
        <v>99</v>
      </c>
      <c r="F1729" s="281">
        <v>1</v>
      </c>
      <c r="G1729" s="229"/>
      <c r="H1729" s="235"/>
    </row>
    <row r="1730" spans="2:8" ht="15">
      <c r="B1730" s="186" t="s">
        <v>2220</v>
      </c>
      <c r="C1730" s="312"/>
      <c r="D1730" s="313" t="s">
        <v>1416</v>
      </c>
      <c r="E1730" s="314"/>
      <c r="F1730" s="283"/>
      <c r="G1730" s="233"/>
      <c r="H1730" s="234"/>
    </row>
    <row r="1731" spans="2:8">
      <c r="B1731" s="183" t="s">
        <v>2221</v>
      </c>
      <c r="C1731" s="198"/>
      <c r="D1731" s="332" t="s">
        <v>2127</v>
      </c>
      <c r="E1731" s="198" t="s">
        <v>99</v>
      </c>
      <c r="F1731" s="295">
        <v>1</v>
      </c>
      <c r="G1731" s="229"/>
      <c r="H1731" s="235"/>
    </row>
    <row r="1732" spans="2:8">
      <c r="B1732" s="183" t="s">
        <v>2222</v>
      </c>
      <c r="C1732" s="198"/>
      <c r="D1732" s="332" t="s">
        <v>2129</v>
      </c>
      <c r="E1732" s="198" t="s">
        <v>99</v>
      </c>
      <c r="F1732" s="281">
        <v>1</v>
      </c>
      <c r="G1732" s="229"/>
      <c r="H1732" s="235"/>
    </row>
    <row r="1733" spans="2:8">
      <c r="B1733" s="183" t="s">
        <v>2223</v>
      </c>
      <c r="C1733" s="198"/>
      <c r="D1733" s="332" t="s">
        <v>2131</v>
      </c>
      <c r="E1733" s="198" t="s">
        <v>99</v>
      </c>
      <c r="F1733" s="281">
        <v>1</v>
      </c>
      <c r="G1733" s="229"/>
      <c r="H1733" s="235"/>
    </row>
    <row r="1734" spans="2:8">
      <c r="B1734" s="183" t="s">
        <v>2224</v>
      </c>
      <c r="C1734" s="198"/>
      <c r="D1734" s="332" t="s">
        <v>2105</v>
      </c>
      <c r="E1734" s="198" t="s">
        <v>99</v>
      </c>
      <c r="F1734" s="281">
        <v>1</v>
      </c>
      <c r="G1734" s="229"/>
      <c r="H1734" s="235"/>
    </row>
    <row r="1735" spans="2:8">
      <c r="B1735" s="183" t="s">
        <v>2225</v>
      </c>
      <c r="C1735" s="198"/>
      <c r="D1735" s="332" t="s">
        <v>2114</v>
      </c>
      <c r="E1735" s="198" t="s">
        <v>99</v>
      </c>
      <c r="F1735" s="281">
        <v>1</v>
      </c>
      <c r="G1735" s="229"/>
      <c r="H1735" s="235"/>
    </row>
    <row r="1736" spans="2:8">
      <c r="B1736" s="183" t="s">
        <v>2226</v>
      </c>
      <c r="C1736" s="198"/>
      <c r="D1736" s="332" t="s">
        <v>2116</v>
      </c>
      <c r="E1736" s="198" t="s">
        <v>99</v>
      </c>
      <c r="F1736" s="281">
        <v>4</v>
      </c>
      <c r="G1736" s="229"/>
      <c r="H1736" s="235"/>
    </row>
    <row r="1737" spans="2:8">
      <c r="B1737" s="183" t="s">
        <v>2227</v>
      </c>
      <c r="C1737" s="198"/>
      <c r="D1737" s="332" t="s">
        <v>2188</v>
      </c>
      <c r="E1737" s="198" t="s">
        <v>99</v>
      </c>
      <c r="F1737" s="281">
        <v>4</v>
      </c>
      <c r="G1737" s="229"/>
      <c r="H1737" s="235"/>
    </row>
    <row r="1738" spans="2:8">
      <c r="B1738" s="183" t="s">
        <v>2228</v>
      </c>
      <c r="C1738" s="198"/>
      <c r="D1738" s="332" t="s">
        <v>2217</v>
      </c>
      <c r="E1738" s="198" t="s">
        <v>99</v>
      </c>
      <c r="F1738" s="281">
        <v>1</v>
      </c>
      <c r="G1738" s="229"/>
      <c r="H1738" s="235"/>
    </row>
    <row r="1739" spans="2:8">
      <c r="B1739" s="183" t="s">
        <v>2229</v>
      </c>
      <c r="C1739" s="198"/>
      <c r="D1739" s="332" t="s">
        <v>2122</v>
      </c>
      <c r="E1739" s="198" t="s">
        <v>99</v>
      </c>
      <c r="F1739" s="281">
        <v>5</v>
      </c>
      <c r="G1739" s="229"/>
      <c r="H1739" s="235"/>
    </row>
    <row r="1740" spans="2:8" ht="15">
      <c r="B1740" s="186" t="s">
        <v>2230</v>
      </c>
      <c r="C1740" s="312"/>
      <c r="D1740" s="313" t="s">
        <v>1422</v>
      </c>
      <c r="E1740" s="314"/>
      <c r="F1740" s="283"/>
      <c r="G1740" s="233"/>
      <c r="H1740" s="234"/>
    </row>
    <row r="1741" spans="2:8">
      <c r="B1741" s="183" t="s">
        <v>2231</v>
      </c>
      <c r="C1741" s="198"/>
      <c r="D1741" s="332" t="s">
        <v>2101</v>
      </c>
      <c r="E1741" s="198" t="s">
        <v>99</v>
      </c>
      <c r="F1741" s="281">
        <v>2</v>
      </c>
      <c r="G1741" s="229"/>
      <c r="H1741" s="235"/>
    </row>
    <row r="1742" spans="2:8">
      <c r="B1742" s="183" t="s">
        <v>2232</v>
      </c>
      <c r="C1742" s="198"/>
      <c r="D1742" s="332" t="s">
        <v>2127</v>
      </c>
      <c r="E1742" s="198" t="s">
        <v>99</v>
      </c>
      <c r="F1742" s="281">
        <v>1</v>
      </c>
      <c r="G1742" s="229"/>
      <c r="H1742" s="235"/>
    </row>
    <row r="1743" spans="2:8">
      <c r="B1743" s="183" t="s">
        <v>2233</v>
      </c>
      <c r="C1743" s="198"/>
      <c r="D1743" s="332" t="s">
        <v>2129</v>
      </c>
      <c r="E1743" s="198" t="s">
        <v>99</v>
      </c>
      <c r="F1743" s="281">
        <v>1</v>
      </c>
      <c r="G1743" s="229"/>
      <c r="H1743" s="235"/>
    </row>
    <row r="1744" spans="2:8">
      <c r="B1744" s="183" t="s">
        <v>2234</v>
      </c>
      <c r="C1744" s="198"/>
      <c r="D1744" s="332" t="s">
        <v>2131</v>
      </c>
      <c r="E1744" s="198" t="s">
        <v>99</v>
      </c>
      <c r="F1744" s="281">
        <v>1</v>
      </c>
      <c r="G1744" s="229"/>
      <c r="H1744" s="235"/>
    </row>
    <row r="1745" spans="2:8">
      <c r="B1745" s="183" t="s">
        <v>2235</v>
      </c>
      <c r="C1745" s="198"/>
      <c r="D1745" s="332" t="s">
        <v>2105</v>
      </c>
      <c r="E1745" s="198" t="s">
        <v>99</v>
      </c>
      <c r="F1745" s="281">
        <v>1</v>
      </c>
      <c r="G1745" s="229"/>
      <c r="H1745" s="235"/>
    </row>
    <row r="1746" spans="2:8">
      <c r="B1746" s="183" t="s">
        <v>2236</v>
      </c>
      <c r="C1746" s="198"/>
      <c r="D1746" s="332" t="s">
        <v>2217</v>
      </c>
      <c r="E1746" s="198" t="s">
        <v>99</v>
      </c>
      <c r="F1746" s="281">
        <v>1</v>
      </c>
      <c r="G1746" s="229"/>
      <c r="H1746" s="235"/>
    </row>
    <row r="1747" spans="2:8">
      <c r="B1747" s="183" t="s">
        <v>2237</v>
      </c>
      <c r="C1747" s="198"/>
      <c r="D1747" s="332" t="s">
        <v>2207</v>
      </c>
      <c r="E1747" s="198" t="s">
        <v>99</v>
      </c>
      <c r="F1747" s="281">
        <v>2</v>
      </c>
      <c r="G1747" s="229"/>
      <c r="H1747" s="235"/>
    </row>
    <row r="1748" spans="2:8">
      <c r="B1748" s="183" t="s">
        <v>2238</v>
      </c>
      <c r="C1748" s="198"/>
      <c r="D1748" s="332" t="s">
        <v>2213</v>
      </c>
      <c r="E1748" s="198" t="s">
        <v>99</v>
      </c>
      <c r="F1748" s="281">
        <v>10</v>
      </c>
      <c r="G1748" s="229"/>
      <c r="H1748" s="235"/>
    </row>
    <row r="1749" spans="2:8" ht="13.5" thickBot="1">
      <c r="B1749" s="183" t="s">
        <v>2239</v>
      </c>
      <c r="C1749" s="198"/>
      <c r="D1749" s="332" t="s">
        <v>2122</v>
      </c>
      <c r="E1749" s="198" t="s">
        <v>99</v>
      </c>
      <c r="F1749" s="281">
        <v>7</v>
      </c>
      <c r="G1749" s="229"/>
      <c r="H1749" s="235"/>
    </row>
    <row r="1750" spans="2:8" ht="16.5" thickBot="1">
      <c r="B1750" s="479">
        <v>20</v>
      </c>
      <c r="C1750" s="480" t="s">
        <v>2240</v>
      </c>
      <c r="D1750" s="481" t="s">
        <v>2241</v>
      </c>
      <c r="E1750" s="482"/>
      <c r="F1750" s="483"/>
      <c r="G1750" s="493"/>
      <c r="H1750" s="280"/>
    </row>
    <row r="1751" spans="2:8" ht="15">
      <c r="B1751" s="486" t="s">
        <v>2242</v>
      </c>
      <c r="C1751" s="487"/>
      <c r="D1751" s="488" t="s">
        <v>1536</v>
      </c>
      <c r="E1751" s="489"/>
      <c r="F1751" s="490"/>
      <c r="G1751" s="491"/>
      <c r="H1751" s="492"/>
    </row>
    <row r="1752" spans="2:8">
      <c r="B1752" s="129" t="s">
        <v>2243</v>
      </c>
      <c r="C1752" s="198"/>
      <c r="D1752" s="332" t="s">
        <v>2244</v>
      </c>
      <c r="E1752" s="198" t="s">
        <v>2245</v>
      </c>
      <c r="F1752" s="281">
        <v>22</v>
      </c>
      <c r="G1752" s="229"/>
      <c r="H1752" s="230"/>
    </row>
    <row r="1753" spans="2:8">
      <c r="B1753" s="129" t="s">
        <v>2246</v>
      </c>
      <c r="C1753" s="198"/>
      <c r="D1753" s="332" t="s">
        <v>2247</v>
      </c>
      <c r="E1753" s="198" t="s">
        <v>2245</v>
      </c>
      <c r="F1753" s="281">
        <v>17</v>
      </c>
      <c r="G1753" s="229"/>
      <c r="H1753" s="230"/>
    </row>
    <row r="1754" spans="2:8">
      <c r="B1754" s="129" t="s">
        <v>2248</v>
      </c>
      <c r="C1754" s="198"/>
      <c r="D1754" s="332" t="s">
        <v>2249</v>
      </c>
      <c r="E1754" s="198" t="s">
        <v>2245</v>
      </c>
      <c r="F1754" s="281">
        <v>45</v>
      </c>
      <c r="G1754" s="229"/>
      <c r="H1754" s="230"/>
    </row>
    <row r="1755" spans="2:8">
      <c r="B1755" s="129" t="s">
        <v>2250</v>
      </c>
      <c r="C1755" s="198"/>
      <c r="D1755" s="332" t="s">
        <v>2251</v>
      </c>
      <c r="E1755" s="198" t="s">
        <v>2245</v>
      </c>
      <c r="F1755" s="281">
        <v>63</v>
      </c>
      <c r="G1755" s="229"/>
      <c r="H1755" s="230"/>
    </row>
    <row r="1756" spans="2:8">
      <c r="B1756" s="129" t="s">
        <v>2252</v>
      </c>
      <c r="C1756" s="198"/>
      <c r="D1756" s="332" t="s">
        <v>2253</v>
      </c>
      <c r="E1756" s="198" t="s">
        <v>2245</v>
      </c>
      <c r="F1756" s="281">
        <v>7</v>
      </c>
      <c r="G1756" s="229"/>
      <c r="H1756" s="230"/>
    </row>
    <row r="1757" spans="2:8">
      <c r="B1757" s="129" t="s">
        <v>2254</v>
      </c>
      <c r="C1757" s="198"/>
      <c r="D1757" s="332" t="s">
        <v>2255</v>
      </c>
      <c r="E1757" s="198" t="s">
        <v>2245</v>
      </c>
      <c r="F1757" s="281">
        <v>1</v>
      </c>
      <c r="G1757" s="229"/>
      <c r="H1757" s="230"/>
    </row>
    <row r="1758" spans="2:8" ht="25.5">
      <c r="B1758" s="129" t="s">
        <v>2256</v>
      </c>
      <c r="C1758" s="198"/>
      <c r="D1758" s="332" t="s">
        <v>2257</v>
      </c>
      <c r="E1758" s="198" t="s">
        <v>2258</v>
      </c>
      <c r="F1758" s="281">
        <v>54.8</v>
      </c>
      <c r="G1758" s="229"/>
      <c r="H1758" s="230"/>
    </row>
    <row r="1759" spans="2:8" ht="25.5">
      <c r="B1759" s="129" t="s">
        <v>2259</v>
      </c>
      <c r="C1759" s="198"/>
      <c r="D1759" s="332" t="s">
        <v>2260</v>
      </c>
      <c r="E1759" s="198" t="s">
        <v>2258</v>
      </c>
      <c r="F1759" s="281">
        <v>413.51299999999998</v>
      </c>
      <c r="G1759" s="229"/>
      <c r="H1759" s="230"/>
    </row>
    <row r="1760" spans="2:8" ht="25.5">
      <c r="B1760" s="129" t="s">
        <v>2261</v>
      </c>
      <c r="C1760" s="198"/>
      <c r="D1760" s="332" t="s">
        <v>2262</v>
      </c>
      <c r="E1760" s="198" t="s">
        <v>2258</v>
      </c>
      <c r="F1760" s="281">
        <v>179.81199999999998</v>
      </c>
      <c r="G1760" s="229"/>
      <c r="H1760" s="230"/>
    </row>
    <row r="1761" spans="2:8" ht="25.5">
      <c r="B1761" s="129" t="s">
        <v>2263</v>
      </c>
      <c r="C1761" s="198"/>
      <c r="D1761" s="332" t="s">
        <v>2264</v>
      </c>
      <c r="E1761" s="198" t="s">
        <v>2258</v>
      </c>
      <c r="F1761" s="281">
        <v>96.165999999999997</v>
      </c>
      <c r="G1761" s="229"/>
      <c r="H1761" s="230"/>
    </row>
    <row r="1762" spans="2:8" ht="25.5">
      <c r="B1762" s="129" t="s">
        <v>2265</v>
      </c>
      <c r="C1762" s="198"/>
      <c r="D1762" s="332" t="s">
        <v>2266</v>
      </c>
      <c r="E1762" s="198" t="s">
        <v>2258</v>
      </c>
      <c r="F1762" s="281">
        <v>69.10799999999999</v>
      </c>
      <c r="G1762" s="229"/>
      <c r="H1762" s="230"/>
    </row>
    <row r="1763" spans="2:8" ht="25.5">
      <c r="B1763" s="129" t="s">
        <v>2267</v>
      </c>
      <c r="C1763" s="198"/>
      <c r="D1763" s="332" t="s">
        <v>2268</v>
      </c>
      <c r="E1763" s="198" t="s">
        <v>2258</v>
      </c>
      <c r="F1763" s="281">
        <v>767.72200000000009</v>
      </c>
      <c r="G1763" s="229"/>
      <c r="H1763" s="230"/>
    </row>
    <row r="1764" spans="2:8" ht="25.5">
      <c r="B1764" s="129" t="s">
        <v>2269</v>
      </c>
      <c r="C1764" s="198"/>
      <c r="D1764" s="332" t="s">
        <v>2270</v>
      </c>
      <c r="E1764" s="198" t="s">
        <v>2258</v>
      </c>
      <c r="F1764" s="281">
        <v>64.465999999999994</v>
      </c>
      <c r="G1764" s="229"/>
      <c r="H1764" s="230"/>
    </row>
    <row r="1765" spans="2:8" ht="25.5">
      <c r="B1765" s="129" t="s">
        <v>2271</v>
      </c>
      <c r="C1765" s="198"/>
      <c r="D1765" s="332" t="s">
        <v>2272</v>
      </c>
      <c r="E1765" s="198" t="s">
        <v>2258</v>
      </c>
      <c r="F1765" s="281">
        <v>14.87</v>
      </c>
      <c r="G1765" s="229"/>
      <c r="H1765" s="230"/>
    </row>
    <row r="1766" spans="2:8" ht="25.5">
      <c r="B1766" s="129" t="s">
        <v>2273</v>
      </c>
      <c r="C1766" s="198"/>
      <c r="D1766" s="332" t="s">
        <v>2274</v>
      </c>
      <c r="E1766" s="198" t="s">
        <v>2258</v>
      </c>
      <c r="F1766" s="281">
        <v>2.5950000000000002</v>
      </c>
      <c r="G1766" s="229"/>
      <c r="H1766" s="230"/>
    </row>
    <row r="1767" spans="2:8" ht="25.5">
      <c r="B1767" s="129" t="s">
        <v>2275</v>
      </c>
      <c r="C1767" s="198"/>
      <c r="D1767" s="332" t="s">
        <v>2276</v>
      </c>
      <c r="E1767" s="198" t="s">
        <v>2258</v>
      </c>
      <c r="F1767" s="281">
        <v>59.372</v>
      </c>
      <c r="G1767" s="229"/>
      <c r="H1767" s="230"/>
    </row>
    <row r="1768" spans="2:8" ht="25.5">
      <c r="B1768" s="129" t="s">
        <v>2277</v>
      </c>
      <c r="C1768" s="198"/>
      <c r="D1768" s="332" t="s">
        <v>2278</v>
      </c>
      <c r="E1768" s="198" t="s">
        <v>2245</v>
      </c>
      <c r="F1768" s="281">
        <v>87</v>
      </c>
      <c r="G1768" s="229"/>
      <c r="H1768" s="230"/>
    </row>
    <row r="1769" spans="2:8" ht="25.5">
      <c r="B1769" s="129" t="s">
        <v>2279</v>
      </c>
      <c r="C1769" s="198"/>
      <c r="D1769" s="332" t="s">
        <v>2280</v>
      </c>
      <c r="E1769" s="198" t="s">
        <v>2245</v>
      </c>
      <c r="F1769" s="281">
        <v>37</v>
      </c>
      <c r="G1769" s="229"/>
      <c r="H1769" s="230"/>
    </row>
    <row r="1770" spans="2:8" ht="25.5">
      <c r="B1770" s="129" t="s">
        <v>2281</v>
      </c>
      <c r="C1770" s="198"/>
      <c r="D1770" s="332" t="s">
        <v>2282</v>
      </c>
      <c r="E1770" s="198" t="s">
        <v>2245</v>
      </c>
      <c r="F1770" s="281">
        <v>155</v>
      </c>
      <c r="G1770" s="229"/>
      <c r="H1770" s="230"/>
    </row>
    <row r="1771" spans="2:8" ht="15">
      <c r="B1771" s="186" t="s">
        <v>2283</v>
      </c>
      <c r="C1771" s="312"/>
      <c r="D1771" s="313" t="s">
        <v>2284</v>
      </c>
      <c r="E1771" s="314"/>
      <c r="F1771" s="283"/>
      <c r="G1771" s="233"/>
      <c r="H1771" s="234"/>
    </row>
    <row r="1772" spans="2:8" ht="25.5">
      <c r="B1772" s="129" t="s">
        <v>2285</v>
      </c>
      <c r="C1772" s="198"/>
      <c r="D1772" s="332" t="s">
        <v>2286</v>
      </c>
      <c r="E1772" s="198" t="s">
        <v>309</v>
      </c>
      <c r="F1772" s="281">
        <v>1</v>
      </c>
      <c r="G1772" s="229"/>
      <c r="H1772" s="230"/>
    </row>
    <row r="1773" spans="2:8" ht="25.5">
      <c r="B1773" s="129" t="s">
        <v>2287</v>
      </c>
      <c r="C1773" s="198"/>
      <c r="D1773" s="332" t="s">
        <v>2288</v>
      </c>
      <c r="E1773" s="198" t="s">
        <v>309</v>
      </c>
      <c r="F1773" s="281">
        <v>1</v>
      </c>
      <c r="G1773" s="229"/>
      <c r="H1773" s="230"/>
    </row>
    <row r="1774" spans="2:8" ht="25.5">
      <c r="B1774" s="129" t="s">
        <v>2289</v>
      </c>
      <c r="C1774" s="198"/>
      <c r="D1774" s="332" t="s">
        <v>2290</v>
      </c>
      <c r="E1774" s="198" t="s">
        <v>309</v>
      </c>
      <c r="F1774" s="281">
        <v>1</v>
      </c>
      <c r="G1774" s="229"/>
      <c r="H1774" s="230"/>
    </row>
    <row r="1775" spans="2:8" ht="51">
      <c r="B1775" s="129" t="s">
        <v>2291</v>
      </c>
      <c r="C1775" s="198"/>
      <c r="D1775" s="332" t="s">
        <v>2292</v>
      </c>
      <c r="E1775" s="198" t="s">
        <v>309</v>
      </c>
      <c r="F1775" s="281">
        <v>1</v>
      </c>
      <c r="G1775" s="229"/>
      <c r="H1775" s="230"/>
    </row>
    <row r="1776" spans="2:8" ht="25.5">
      <c r="B1776" s="129" t="s">
        <v>2293</v>
      </c>
      <c r="C1776" s="198"/>
      <c r="D1776" s="332" t="s">
        <v>2294</v>
      </c>
      <c r="E1776" s="198" t="s">
        <v>309</v>
      </c>
      <c r="F1776" s="281">
        <v>1</v>
      </c>
      <c r="G1776" s="229"/>
      <c r="H1776" s="230"/>
    </row>
    <row r="1777" spans="2:8" ht="15">
      <c r="B1777" s="186" t="s">
        <v>2295</v>
      </c>
      <c r="C1777" s="312"/>
      <c r="D1777" s="313" t="s">
        <v>222</v>
      </c>
      <c r="E1777" s="314"/>
      <c r="F1777" s="283"/>
      <c r="G1777" s="233"/>
      <c r="H1777" s="234"/>
    </row>
    <row r="1778" spans="2:8">
      <c r="B1778" s="129" t="s">
        <v>2296</v>
      </c>
      <c r="C1778" s="333"/>
      <c r="D1778" s="345" t="s">
        <v>224</v>
      </c>
      <c r="E1778" s="342"/>
      <c r="F1778" s="287"/>
      <c r="G1778" s="243"/>
      <c r="H1778" s="244"/>
    </row>
    <row r="1779" spans="2:8" ht="25.5">
      <c r="B1779" s="129" t="s">
        <v>2297</v>
      </c>
      <c r="C1779" s="198"/>
      <c r="D1779" s="332" t="s">
        <v>2298</v>
      </c>
      <c r="E1779" s="198" t="s">
        <v>309</v>
      </c>
      <c r="F1779" s="281">
        <v>1</v>
      </c>
      <c r="G1779" s="229"/>
      <c r="H1779" s="230"/>
    </row>
    <row r="1780" spans="2:8" ht="25.5">
      <c r="B1780" s="129" t="s">
        <v>2299</v>
      </c>
      <c r="C1780" s="198"/>
      <c r="D1780" s="332" t="s">
        <v>2300</v>
      </c>
      <c r="E1780" s="198" t="s">
        <v>309</v>
      </c>
      <c r="F1780" s="281">
        <v>1</v>
      </c>
      <c r="G1780" s="229"/>
      <c r="H1780" s="230"/>
    </row>
    <row r="1781" spans="2:8" ht="25.5">
      <c r="B1781" s="129" t="s">
        <v>2301</v>
      </c>
      <c r="C1781" s="198"/>
      <c r="D1781" s="332" t="s">
        <v>2302</v>
      </c>
      <c r="E1781" s="198" t="s">
        <v>309</v>
      </c>
      <c r="F1781" s="281">
        <v>1</v>
      </c>
      <c r="G1781" s="229"/>
      <c r="H1781" s="230"/>
    </row>
    <row r="1782" spans="2:8" ht="25.5">
      <c r="B1782" s="129" t="s">
        <v>2303</v>
      </c>
      <c r="C1782" s="198"/>
      <c r="D1782" s="332" t="s">
        <v>2304</v>
      </c>
      <c r="E1782" s="198" t="s">
        <v>309</v>
      </c>
      <c r="F1782" s="281">
        <v>1</v>
      </c>
      <c r="G1782" s="229"/>
      <c r="H1782" s="230"/>
    </row>
    <row r="1783" spans="2:8">
      <c r="B1783" s="129" t="s">
        <v>2305</v>
      </c>
      <c r="C1783" s="198"/>
      <c r="D1783" s="345" t="s">
        <v>236</v>
      </c>
      <c r="E1783" s="342"/>
      <c r="F1783" s="287"/>
      <c r="G1783" s="243"/>
      <c r="H1783" s="244"/>
    </row>
    <row r="1784" spans="2:8" ht="25.5">
      <c r="B1784" s="129" t="s">
        <v>2306</v>
      </c>
      <c r="C1784" s="198"/>
      <c r="D1784" s="332" t="s">
        <v>2307</v>
      </c>
      <c r="E1784" s="198" t="s">
        <v>309</v>
      </c>
      <c r="F1784" s="281">
        <v>1</v>
      </c>
      <c r="G1784" s="229"/>
      <c r="H1784" s="230"/>
    </row>
    <row r="1785" spans="2:8" ht="25.5">
      <c r="B1785" s="129" t="s">
        <v>2308</v>
      </c>
      <c r="C1785" s="198"/>
      <c r="D1785" s="332" t="s">
        <v>2309</v>
      </c>
      <c r="E1785" s="198" t="s">
        <v>309</v>
      </c>
      <c r="F1785" s="281">
        <v>1</v>
      </c>
      <c r="G1785" s="229"/>
      <c r="H1785" s="230"/>
    </row>
    <row r="1786" spans="2:8" ht="25.5">
      <c r="B1786" s="129" t="s">
        <v>2310</v>
      </c>
      <c r="C1786" s="198"/>
      <c r="D1786" s="332" t="s">
        <v>2290</v>
      </c>
      <c r="E1786" s="198" t="s">
        <v>309</v>
      </c>
      <c r="F1786" s="281">
        <v>1</v>
      </c>
      <c r="G1786" s="229"/>
      <c r="H1786" s="230"/>
    </row>
    <row r="1787" spans="2:8" ht="25.5">
      <c r="B1787" s="129" t="s">
        <v>2311</v>
      </c>
      <c r="C1787" s="198"/>
      <c r="D1787" s="332" t="s">
        <v>2312</v>
      </c>
      <c r="E1787" s="198" t="s">
        <v>309</v>
      </c>
      <c r="F1787" s="281">
        <v>1</v>
      </c>
      <c r="G1787" s="229"/>
      <c r="H1787" s="230"/>
    </row>
    <row r="1788" spans="2:8" ht="25.5">
      <c r="B1788" s="129" t="s">
        <v>2313</v>
      </c>
      <c r="C1788" s="198"/>
      <c r="D1788" s="332" t="s">
        <v>2314</v>
      </c>
      <c r="E1788" s="198" t="s">
        <v>309</v>
      </c>
      <c r="F1788" s="281">
        <v>1</v>
      </c>
      <c r="G1788" s="229"/>
      <c r="H1788" s="230"/>
    </row>
    <row r="1789" spans="2:8" ht="25.5">
      <c r="B1789" s="129" t="s">
        <v>2315</v>
      </c>
      <c r="C1789" s="198"/>
      <c r="D1789" s="332" t="s">
        <v>2316</v>
      </c>
      <c r="E1789" s="198" t="s">
        <v>309</v>
      </c>
      <c r="F1789" s="281">
        <v>1</v>
      </c>
      <c r="G1789" s="229"/>
      <c r="H1789" s="230"/>
    </row>
    <row r="1790" spans="2:8" ht="25.5">
      <c r="B1790" s="129" t="s">
        <v>2317</v>
      </c>
      <c r="C1790" s="198"/>
      <c r="D1790" s="332" t="s">
        <v>2318</v>
      </c>
      <c r="E1790" s="198" t="s">
        <v>309</v>
      </c>
      <c r="F1790" s="281">
        <v>1</v>
      </c>
      <c r="G1790" s="229"/>
      <c r="H1790" s="230"/>
    </row>
    <row r="1791" spans="2:8">
      <c r="B1791" s="129" t="s">
        <v>2319</v>
      </c>
      <c r="C1791" s="333"/>
      <c r="D1791" s="345" t="s">
        <v>243</v>
      </c>
      <c r="E1791" s="342"/>
      <c r="F1791" s="287"/>
      <c r="G1791" s="243"/>
      <c r="H1791" s="244"/>
    </row>
    <row r="1792" spans="2:8" ht="25.5">
      <c r="B1792" s="129" t="s">
        <v>2320</v>
      </c>
      <c r="C1792" s="198"/>
      <c r="D1792" s="332" t="s">
        <v>2321</v>
      </c>
      <c r="E1792" s="198" t="s">
        <v>309</v>
      </c>
      <c r="F1792" s="281">
        <v>1</v>
      </c>
      <c r="G1792" s="229"/>
      <c r="H1792" s="230"/>
    </row>
    <row r="1793" spans="2:8" ht="25.5">
      <c r="B1793" s="129" t="s">
        <v>2322</v>
      </c>
      <c r="C1793" s="198"/>
      <c r="D1793" s="332" t="s">
        <v>2323</v>
      </c>
      <c r="E1793" s="198" t="s">
        <v>309</v>
      </c>
      <c r="F1793" s="281">
        <v>1</v>
      </c>
      <c r="G1793" s="229"/>
      <c r="H1793" s="230"/>
    </row>
    <row r="1794" spans="2:8" ht="25.5">
      <c r="B1794" s="129" t="s">
        <v>2324</v>
      </c>
      <c r="C1794" s="198"/>
      <c r="D1794" s="332" t="s">
        <v>2325</v>
      </c>
      <c r="E1794" s="198" t="s">
        <v>309</v>
      </c>
      <c r="F1794" s="281">
        <v>1</v>
      </c>
      <c r="G1794" s="229"/>
      <c r="H1794" s="230"/>
    </row>
    <row r="1795" spans="2:8" ht="15">
      <c r="B1795" s="186" t="s">
        <v>2326</v>
      </c>
      <c r="C1795" s="312"/>
      <c r="D1795" s="313" t="s">
        <v>224</v>
      </c>
      <c r="E1795" s="314"/>
      <c r="F1795" s="283"/>
      <c r="G1795" s="233"/>
      <c r="H1795" s="234"/>
    </row>
    <row r="1796" spans="2:8">
      <c r="B1796" s="129" t="s">
        <v>2327</v>
      </c>
      <c r="C1796" s="198"/>
      <c r="D1796" s="332" t="s">
        <v>679</v>
      </c>
      <c r="E1796" s="198"/>
      <c r="F1796" s="281"/>
      <c r="G1796" s="229"/>
      <c r="H1796" s="230"/>
    </row>
    <row r="1797" spans="2:8" ht="25.5">
      <c r="B1797" s="129" t="s">
        <v>2328</v>
      </c>
      <c r="C1797" s="198"/>
      <c r="D1797" s="332" t="s">
        <v>2298</v>
      </c>
      <c r="E1797" s="198" t="s">
        <v>309</v>
      </c>
      <c r="F1797" s="281">
        <v>1</v>
      </c>
      <c r="G1797" s="229"/>
      <c r="H1797" s="230"/>
    </row>
    <row r="1798" spans="2:8">
      <c r="B1798" s="129" t="s">
        <v>2329</v>
      </c>
      <c r="C1798" s="333"/>
      <c r="D1798" s="340" t="s">
        <v>272</v>
      </c>
      <c r="E1798" s="342"/>
      <c r="F1798" s="287"/>
      <c r="G1798" s="243"/>
      <c r="H1798" s="244"/>
    </row>
    <row r="1799" spans="2:8" ht="25.5">
      <c r="B1799" s="129" t="s">
        <v>2330</v>
      </c>
      <c r="C1799" s="198"/>
      <c r="D1799" s="332" t="s">
        <v>2298</v>
      </c>
      <c r="E1799" s="198" t="s">
        <v>309</v>
      </c>
      <c r="F1799" s="281">
        <v>1</v>
      </c>
      <c r="G1799" s="229"/>
      <c r="H1799" s="230"/>
    </row>
    <row r="1800" spans="2:8">
      <c r="B1800" s="129" t="s">
        <v>2331</v>
      </c>
      <c r="C1800" s="333"/>
      <c r="D1800" s="340" t="s">
        <v>279</v>
      </c>
      <c r="E1800" s="342"/>
      <c r="F1800" s="287"/>
      <c r="G1800" s="243"/>
      <c r="H1800" s="244"/>
    </row>
    <row r="1801" spans="2:8" ht="25.5">
      <c r="B1801" s="129" t="s">
        <v>2332</v>
      </c>
      <c r="C1801" s="198"/>
      <c r="D1801" s="332" t="s">
        <v>2298</v>
      </c>
      <c r="E1801" s="198" t="s">
        <v>309</v>
      </c>
      <c r="F1801" s="281">
        <v>1</v>
      </c>
      <c r="G1801" s="229"/>
      <c r="H1801" s="230"/>
    </row>
    <row r="1802" spans="2:8">
      <c r="B1802" s="129" t="s">
        <v>2333</v>
      </c>
      <c r="C1802" s="333"/>
      <c r="D1802" s="340" t="s">
        <v>286</v>
      </c>
      <c r="E1802" s="342"/>
      <c r="F1802" s="287"/>
      <c r="G1802" s="243"/>
      <c r="H1802" s="244"/>
    </row>
    <row r="1803" spans="2:8" ht="25.5">
      <c r="B1803" s="129" t="s">
        <v>2334</v>
      </c>
      <c r="C1803" s="198"/>
      <c r="D1803" s="332" t="s">
        <v>2298</v>
      </c>
      <c r="E1803" s="198" t="s">
        <v>309</v>
      </c>
      <c r="F1803" s="281">
        <v>1</v>
      </c>
      <c r="G1803" s="229"/>
      <c r="H1803" s="230"/>
    </row>
    <row r="1804" spans="2:8" ht="15">
      <c r="B1804" s="186" t="s">
        <v>2335</v>
      </c>
      <c r="C1804" s="312"/>
      <c r="D1804" s="313" t="s">
        <v>236</v>
      </c>
      <c r="E1804" s="314"/>
      <c r="F1804" s="283"/>
      <c r="G1804" s="233"/>
      <c r="H1804" s="234"/>
    </row>
    <row r="1805" spans="2:8">
      <c r="B1805" s="129" t="s">
        <v>2336</v>
      </c>
      <c r="C1805" s="198"/>
      <c r="D1805" s="332" t="s">
        <v>679</v>
      </c>
      <c r="E1805" s="198"/>
      <c r="F1805" s="281"/>
      <c r="G1805" s="229"/>
      <c r="H1805" s="230"/>
    </row>
    <row r="1806" spans="2:8" ht="25.5">
      <c r="B1806" s="129" t="s">
        <v>2337</v>
      </c>
      <c r="C1806" s="198"/>
      <c r="D1806" s="332" t="s">
        <v>2307</v>
      </c>
      <c r="E1806" s="198" t="s">
        <v>309</v>
      </c>
      <c r="F1806" s="281">
        <v>1</v>
      </c>
      <c r="G1806" s="229"/>
      <c r="H1806" s="230"/>
    </row>
    <row r="1807" spans="2:8" ht="25.5">
      <c r="B1807" s="129" t="s">
        <v>2338</v>
      </c>
      <c r="C1807" s="198"/>
      <c r="D1807" s="332" t="s">
        <v>2309</v>
      </c>
      <c r="E1807" s="198" t="s">
        <v>309</v>
      </c>
      <c r="F1807" s="281">
        <v>1</v>
      </c>
      <c r="G1807" s="229"/>
      <c r="H1807" s="230"/>
    </row>
    <row r="1808" spans="2:8" ht="25.5">
      <c r="B1808" s="129" t="s">
        <v>2339</v>
      </c>
      <c r="C1808" s="198"/>
      <c r="D1808" s="332" t="s">
        <v>2340</v>
      </c>
      <c r="E1808" s="198" t="s">
        <v>309</v>
      </c>
      <c r="F1808" s="281">
        <v>1</v>
      </c>
      <c r="G1808" s="229"/>
      <c r="H1808" s="230"/>
    </row>
    <row r="1809" spans="2:8" ht="25.5">
      <c r="B1809" s="129" t="s">
        <v>2341</v>
      </c>
      <c r="C1809" s="198"/>
      <c r="D1809" s="332" t="s">
        <v>2342</v>
      </c>
      <c r="E1809" s="198" t="s">
        <v>309</v>
      </c>
      <c r="F1809" s="281">
        <v>1</v>
      </c>
      <c r="G1809" s="229"/>
      <c r="H1809" s="230"/>
    </row>
    <row r="1810" spans="2:8" ht="25.5">
      <c r="B1810" s="129" t="s">
        <v>2343</v>
      </c>
      <c r="C1810" s="198"/>
      <c r="D1810" s="332" t="s">
        <v>2290</v>
      </c>
      <c r="E1810" s="198" t="s">
        <v>309</v>
      </c>
      <c r="F1810" s="281">
        <v>1</v>
      </c>
      <c r="G1810" s="229"/>
      <c r="H1810" s="230"/>
    </row>
    <row r="1811" spans="2:8" ht="25.5">
      <c r="B1811" s="129" t="s">
        <v>2344</v>
      </c>
      <c r="C1811" s="198"/>
      <c r="D1811" s="332" t="s">
        <v>2312</v>
      </c>
      <c r="E1811" s="198" t="s">
        <v>309</v>
      </c>
      <c r="F1811" s="281">
        <v>1</v>
      </c>
      <c r="G1811" s="229"/>
      <c r="H1811" s="230"/>
    </row>
    <row r="1812" spans="2:8" ht="25.5">
      <c r="B1812" s="129" t="s">
        <v>2345</v>
      </c>
      <c r="C1812" s="198"/>
      <c r="D1812" s="332" t="s">
        <v>2314</v>
      </c>
      <c r="E1812" s="198" t="s">
        <v>309</v>
      </c>
      <c r="F1812" s="281">
        <v>1</v>
      </c>
      <c r="G1812" s="229"/>
      <c r="H1812" s="230"/>
    </row>
    <row r="1813" spans="2:8" ht="25.5">
      <c r="B1813" s="129" t="s">
        <v>2346</v>
      </c>
      <c r="C1813" s="198"/>
      <c r="D1813" s="332" t="s">
        <v>2316</v>
      </c>
      <c r="E1813" s="198" t="s">
        <v>309</v>
      </c>
      <c r="F1813" s="281">
        <v>1</v>
      </c>
      <c r="G1813" s="229"/>
      <c r="H1813" s="230"/>
    </row>
    <row r="1814" spans="2:8" ht="25.5">
      <c r="B1814" s="129" t="s">
        <v>2347</v>
      </c>
      <c r="C1814" s="198"/>
      <c r="D1814" s="332" t="s">
        <v>2348</v>
      </c>
      <c r="E1814" s="198" t="s">
        <v>309</v>
      </c>
      <c r="F1814" s="281">
        <v>1</v>
      </c>
      <c r="G1814" s="229"/>
      <c r="H1814" s="230"/>
    </row>
    <row r="1815" spans="2:8">
      <c r="B1815" s="129" t="s">
        <v>2349</v>
      </c>
      <c r="C1815" s="198"/>
      <c r="D1815" s="332" t="s">
        <v>264</v>
      </c>
      <c r="E1815" s="198"/>
      <c r="F1815" s="287"/>
      <c r="G1815" s="229"/>
      <c r="H1815" s="230"/>
    </row>
    <row r="1816" spans="2:8" ht="25.5">
      <c r="B1816" s="129" t="s">
        <v>2350</v>
      </c>
      <c r="C1816" s="198"/>
      <c r="D1816" s="332" t="s">
        <v>2307</v>
      </c>
      <c r="E1816" s="198" t="s">
        <v>309</v>
      </c>
      <c r="F1816" s="281">
        <v>1</v>
      </c>
      <c r="G1816" s="229"/>
      <c r="H1816" s="230"/>
    </row>
    <row r="1817" spans="2:8" ht="25.5">
      <c r="B1817" s="129" t="s">
        <v>2351</v>
      </c>
      <c r="C1817" s="198"/>
      <c r="D1817" s="332" t="s">
        <v>2309</v>
      </c>
      <c r="E1817" s="198" t="s">
        <v>309</v>
      </c>
      <c r="F1817" s="281">
        <v>1</v>
      </c>
      <c r="G1817" s="229"/>
      <c r="H1817" s="230"/>
    </row>
    <row r="1818" spans="2:8" ht="25.5">
      <c r="B1818" s="129" t="s">
        <v>2352</v>
      </c>
      <c r="C1818" s="198"/>
      <c r="D1818" s="332" t="s">
        <v>2340</v>
      </c>
      <c r="E1818" s="198" t="s">
        <v>309</v>
      </c>
      <c r="F1818" s="281">
        <v>1</v>
      </c>
      <c r="G1818" s="229"/>
      <c r="H1818" s="230"/>
    </row>
    <row r="1819" spans="2:8" ht="25.5">
      <c r="B1819" s="129" t="s">
        <v>2353</v>
      </c>
      <c r="C1819" s="198"/>
      <c r="D1819" s="332" t="s">
        <v>2342</v>
      </c>
      <c r="E1819" s="198" t="s">
        <v>309</v>
      </c>
      <c r="F1819" s="281">
        <v>1</v>
      </c>
      <c r="G1819" s="229"/>
      <c r="H1819" s="230"/>
    </row>
    <row r="1820" spans="2:8" ht="25.5">
      <c r="B1820" s="129" t="s">
        <v>2354</v>
      </c>
      <c r="C1820" s="198"/>
      <c r="D1820" s="332" t="s">
        <v>2290</v>
      </c>
      <c r="E1820" s="198" t="s">
        <v>309</v>
      </c>
      <c r="F1820" s="281">
        <v>1</v>
      </c>
      <c r="G1820" s="229"/>
      <c r="H1820" s="230"/>
    </row>
    <row r="1821" spans="2:8" ht="25.5">
      <c r="B1821" s="129" t="s">
        <v>2355</v>
      </c>
      <c r="C1821" s="198"/>
      <c r="D1821" s="332" t="s">
        <v>2312</v>
      </c>
      <c r="E1821" s="198" t="s">
        <v>309</v>
      </c>
      <c r="F1821" s="281">
        <v>1</v>
      </c>
      <c r="G1821" s="229"/>
      <c r="H1821" s="230"/>
    </row>
    <row r="1822" spans="2:8" ht="25.5">
      <c r="B1822" s="129" t="s">
        <v>2356</v>
      </c>
      <c r="C1822" s="198"/>
      <c r="D1822" s="332" t="s">
        <v>2314</v>
      </c>
      <c r="E1822" s="198" t="s">
        <v>309</v>
      </c>
      <c r="F1822" s="281">
        <v>1</v>
      </c>
      <c r="G1822" s="229"/>
      <c r="H1822" s="230"/>
    </row>
    <row r="1823" spans="2:8" ht="25.5">
      <c r="B1823" s="129" t="s">
        <v>2357</v>
      </c>
      <c r="C1823" s="198"/>
      <c r="D1823" s="332" t="s">
        <v>2316</v>
      </c>
      <c r="E1823" s="198" t="s">
        <v>309</v>
      </c>
      <c r="F1823" s="281">
        <v>1</v>
      </c>
      <c r="G1823" s="229"/>
      <c r="H1823" s="230"/>
    </row>
    <row r="1824" spans="2:8" ht="25.5">
      <c r="B1824" s="129" t="s">
        <v>2358</v>
      </c>
      <c r="C1824" s="198"/>
      <c r="D1824" s="332" t="s">
        <v>2318</v>
      </c>
      <c r="E1824" s="198" t="s">
        <v>309</v>
      </c>
      <c r="F1824" s="281">
        <v>1</v>
      </c>
      <c r="G1824" s="229"/>
      <c r="H1824" s="230"/>
    </row>
    <row r="1825" spans="2:8">
      <c r="B1825" s="129" t="s">
        <v>2359</v>
      </c>
      <c r="C1825" s="333"/>
      <c r="D1825" s="340" t="s">
        <v>272</v>
      </c>
      <c r="E1825" s="342"/>
      <c r="F1825" s="287"/>
      <c r="G1825" s="243"/>
      <c r="H1825" s="244"/>
    </row>
    <row r="1826" spans="2:8" ht="25.5">
      <c r="B1826" s="129" t="s">
        <v>2360</v>
      </c>
      <c r="C1826" s="198"/>
      <c r="D1826" s="332" t="s">
        <v>2307</v>
      </c>
      <c r="E1826" s="198" t="s">
        <v>309</v>
      </c>
      <c r="F1826" s="281">
        <v>1</v>
      </c>
      <c r="G1826" s="229"/>
      <c r="H1826" s="230"/>
    </row>
    <row r="1827" spans="2:8" ht="25.5">
      <c r="B1827" s="129" t="s">
        <v>2361</v>
      </c>
      <c r="C1827" s="198"/>
      <c r="D1827" s="332" t="s">
        <v>2309</v>
      </c>
      <c r="E1827" s="198" t="s">
        <v>309</v>
      </c>
      <c r="F1827" s="281">
        <v>1</v>
      </c>
      <c r="G1827" s="229"/>
      <c r="H1827" s="230"/>
    </row>
    <row r="1828" spans="2:8" ht="25.5">
      <c r="B1828" s="129" t="s">
        <v>2362</v>
      </c>
      <c r="C1828" s="198"/>
      <c r="D1828" s="332" t="s">
        <v>2340</v>
      </c>
      <c r="E1828" s="198" t="s">
        <v>309</v>
      </c>
      <c r="F1828" s="281">
        <v>1</v>
      </c>
      <c r="G1828" s="229"/>
      <c r="H1828" s="230"/>
    </row>
    <row r="1829" spans="2:8" ht="25.5">
      <c r="B1829" s="129" t="s">
        <v>2363</v>
      </c>
      <c r="C1829" s="198"/>
      <c r="D1829" s="332" t="s">
        <v>2342</v>
      </c>
      <c r="E1829" s="198" t="s">
        <v>309</v>
      </c>
      <c r="F1829" s="281">
        <v>1</v>
      </c>
      <c r="G1829" s="229"/>
      <c r="H1829" s="230"/>
    </row>
    <row r="1830" spans="2:8" ht="25.5">
      <c r="B1830" s="129" t="s">
        <v>2364</v>
      </c>
      <c r="C1830" s="198"/>
      <c r="D1830" s="332" t="s">
        <v>2290</v>
      </c>
      <c r="E1830" s="198" t="s">
        <v>309</v>
      </c>
      <c r="F1830" s="281">
        <v>1</v>
      </c>
      <c r="G1830" s="229"/>
      <c r="H1830" s="230"/>
    </row>
    <row r="1831" spans="2:8" ht="25.5">
      <c r="B1831" s="129" t="s">
        <v>2365</v>
      </c>
      <c r="C1831" s="198"/>
      <c r="D1831" s="332" t="s">
        <v>2312</v>
      </c>
      <c r="E1831" s="198" t="s">
        <v>309</v>
      </c>
      <c r="F1831" s="281">
        <v>1</v>
      </c>
      <c r="G1831" s="229"/>
      <c r="H1831" s="230"/>
    </row>
    <row r="1832" spans="2:8" ht="25.5">
      <c r="B1832" s="129" t="s">
        <v>2366</v>
      </c>
      <c r="C1832" s="198"/>
      <c r="D1832" s="332" t="s">
        <v>2314</v>
      </c>
      <c r="E1832" s="198" t="s">
        <v>309</v>
      </c>
      <c r="F1832" s="281">
        <v>1</v>
      </c>
      <c r="G1832" s="229"/>
      <c r="H1832" s="230"/>
    </row>
    <row r="1833" spans="2:8" ht="25.5">
      <c r="B1833" s="129" t="s">
        <v>2367</v>
      </c>
      <c r="C1833" s="198"/>
      <c r="D1833" s="332" t="s">
        <v>2316</v>
      </c>
      <c r="E1833" s="198" t="s">
        <v>309</v>
      </c>
      <c r="F1833" s="281">
        <v>1</v>
      </c>
      <c r="G1833" s="229"/>
      <c r="H1833" s="230"/>
    </row>
    <row r="1834" spans="2:8" ht="25.5">
      <c r="B1834" s="129" t="s">
        <v>2368</v>
      </c>
      <c r="C1834" s="198"/>
      <c r="D1834" s="332" t="s">
        <v>2348</v>
      </c>
      <c r="E1834" s="198" t="s">
        <v>309</v>
      </c>
      <c r="F1834" s="281">
        <v>1</v>
      </c>
      <c r="G1834" s="229"/>
      <c r="H1834" s="230"/>
    </row>
    <row r="1835" spans="2:8">
      <c r="B1835" s="129" t="s">
        <v>2369</v>
      </c>
      <c r="C1835" s="333"/>
      <c r="D1835" s="340" t="s">
        <v>279</v>
      </c>
      <c r="E1835" s="342"/>
      <c r="F1835" s="287"/>
      <c r="G1835" s="243"/>
      <c r="H1835" s="244"/>
    </row>
    <row r="1836" spans="2:8" ht="25.5">
      <c r="B1836" s="129" t="s">
        <v>2370</v>
      </c>
      <c r="C1836" s="198"/>
      <c r="D1836" s="332" t="s">
        <v>2307</v>
      </c>
      <c r="E1836" s="198" t="s">
        <v>309</v>
      </c>
      <c r="F1836" s="281">
        <v>1</v>
      </c>
      <c r="G1836" s="229"/>
      <c r="H1836" s="230"/>
    </row>
    <row r="1837" spans="2:8" ht="25.5">
      <c r="B1837" s="129" t="s">
        <v>2371</v>
      </c>
      <c r="C1837" s="198"/>
      <c r="D1837" s="332" t="s">
        <v>2309</v>
      </c>
      <c r="E1837" s="198" t="s">
        <v>309</v>
      </c>
      <c r="F1837" s="281">
        <v>1</v>
      </c>
      <c r="G1837" s="229"/>
      <c r="H1837" s="230"/>
    </row>
    <row r="1838" spans="2:8" ht="25.5">
      <c r="B1838" s="129" t="s">
        <v>2372</v>
      </c>
      <c r="C1838" s="198"/>
      <c r="D1838" s="332" t="s">
        <v>2340</v>
      </c>
      <c r="E1838" s="198" t="s">
        <v>309</v>
      </c>
      <c r="F1838" s="281">
        <v>1</v>
      </c>
      <c r="G1838" s="229"/>
      <c r="H1838" s="230"/>
    </row>
    <row r="1839" spans="2:8" ht="25.5">
      <c r="B1839" s="129" t="s">
        <v>2373</v>
      </c>
      <c r="C1839" s="198"/>
      <c r="D1839" s="332" t="s">
        <v>2342</v>
      </c>
      <c r="E1839" s="198" t="s">
        <v>309</v>
      </c>
      <c r="F1839" s="281">
        <v>1</v>
      </c>
      <c r="G1839" s="229"/>
      <c r="H1839" s="230"/>
    </row>
    <row r="1840" spans="2:8" ht="25.5">
      <c r="B1840" s="129" t="s">
        <v>2374</v>
      </c>
      <c r="C1840" s="198"/>
      <c r="D1840" s="332" t="s">
        <v>2290</v>
      </c>
      <c r="E1840" s="198" t="s">
        <v>309</v>
      </c>
      <c r="F1840" s="281">
        <v>1</v>
      </c>
      <c r="G1840" s="229"/>
      <c r="H1840" s="230"/>
    </row>
    <row r="1841" spans="2:8" ht="25.5">
      <c r="B1841" s="129" t="s">
        <v>2375</v>
      </c>
      <c r="C1841" s="198"/>
      <c r="D1841" s="332" t="s">
        <v>2312</v>
      </c>
      <c r="E1841" s="198" t="s">
        <v>309</v>
      </c>
      <c r="F1841" s="281">
        <v>1</v>
      </c>
      <c r="G1841" s="229"/>
      <c r="H1841" s="230"/>
    </row>
    <row r="1842" spans="2:8" ht="25.5">
      <c r="B1842" s="129" t="s">
        <v>2376</v>
      </c>
      <c r="C1842" s="198"/>
      <c r="D1842" s="332" t="s">
        <v>2314</v>
      </c>
      <c r="E1842" s="198" t="s">
        <v>309</v>
      </c>
      <c r="F1842" s="281">
        <v>1</v>
      </c>
      <c r="G1842" s="229"/>
      <c r="H1842" s="230"/>
    </row>
    <row r="1843" spans="2:8" ht="25.5">
      <c r="B1843" s="129" t="s">
        <v>2377</v>
      </c>
      <c r="C1843" s="198"/>
      <c r="D1843" s="332" t="s">
        <v>2316</v>
      </c>
      <c r="E1843" s="198" t="s">
        <v>309</v>
      </c>
      <c r="F1843" s="281">
        <v>1</v>
      </c>
      <c r="G1843" s="229"/>
      <c r="H1843" s="230"/>
    </row>
    <row r="1844" spans="2:8" ht="25.5">
      <c r="B1844" s="129" t="s">
        <v>2378</v>
      </c>
      <c r="C1844" s="198"/>
      <c r="D1844" s="332" t="s">
        <v>2318</v>
      </c>
      <c r="E1844" s="198" t="s">
        <v>309</v>
      </c>
      <c r="F1844" s="281">
        <v>1</v>
      </c>
      <c r="G1844" s="229"/>
      <c r="H1844" s="230"/>
    </row>
    <row r="1845" spans="2:8">
      <c r="B1845" s="129" t="s">
        <v>2379</v>
      </c>
      <c r="C1845" s="333"/>
      <c r="D1845" s="340" t="s">
        <v>286</v>
      </c>
      <c r="E1845" s="342"/>
      <c r="F1845" s="287"/>
      <c r="G1845" s="243"/>
      <c r="H1845" s="244"/>
    </row>
    <row r="1846" spans="2:8" ht="25.5">
      <c r="B1846" s="129" t="s">
        <v>2380</v>
      </c>
      <c r="C1846" s="198"/>
      <c r="D1846" s="332" t="s">
        <v>2307</v>
      </c>
      <c r="E1846" s="198" t="s">
        <v>309</v>
      </c>
      <c r="F1846" s="281">
        <v>1</v>
      </c>
      <c r="G1846" s="229"/>
      <c r="H1846" s="230"/>
    </row>
    <row r="1847" spans="2:8" ht="25.5">
      <c r="B1847" s="129" t="s">
        <v>2381</v>
      </c>
      <c r="C1847" s="198"/>
      <c r="D1847" s="332" t="s">
        <v>2309</v>
      </c>
      <c r="E1847" s="198" t="s">
        <v>309</v>
      </c>
      <c r="F1847" s="281">
        <v>1</v>
      </c>
      <c r="G1847" s="229"/>
      <c r="H1847" s="230"/>
    </row>
    <row r="1848" spans="2:8" ht="25.5">
      <c r="B1848" s="129" t="s">
        <v>2382</v>
      </c>
      <c r="C1848" s="198"/>
      <c r="D1848" s="332" t="s">
        <v>2340</v>
      </c>
      <c r="E1848" s="198" t="s">
        <v>309</v>
      </c>
      <c r="F1848" s="281">
        <v>1</v>
      </c>
      <c r="G1848" s="229"/>
      <c r="H1848" s="230"/>
    </row>
    <row r="1849" spans="2:8" ht="25.5">
      <c r="B1849" s="129" t="s">
        <v>2383</v>
      </c>
      <c r="C1849" s="198"/>
      <c r="D1849" s="332" t="s">
        <v>2342</v>
      </c>
      <c r="E1849" s="198" t="s">
        <v>309</v>
      </c>
      <c r="F1849" s="281">
        <v>1</v>
      </c>
      <c r="G1849" s="229"/>
      <c r="H1849" s="230"/>
    </row>
    <row r="1850" spans="2:8" ht="25.5">
      <c r="B1850" s="129" t="s">
        <v>2384</v>
      </c>
      <c r="C1850" s="198"/>
      <c r="D1850" s="332" t="s">
        <v>2290</v>
      </c>
      <c r="E1850" s="198" t="s">
        <v>309</v>
      </c>
      <c r="F1850" s="281">
        <v>1</v>
      </c>
      <c r="G1850" s="229"/>
      <c r="H1850" s="230"/>
    </row>
    <row r="1851" spans="2:8" ht="25.5">
      <c r="B1851" s="129" t="s">
        <v>2385</v>
      </c>
      <c r="C1851" s="198"/>
      <c r="D1851" s="332" t="s">
        <v>2312</v>
      </c>
      <c r="E1851" s="198" t="s">
        <v>309</v>
      </c>
      <c r="F1851" s="281">
        <v>1</v>
      </c>
      <c r="G1851" s="229"/>
      <c r="H1851" s="230"/>
    </row>
    <row r="1852" spans="2:8" ht="25.5">
      <c r="B1852" s="129" t="s">
        <v>2386</v>
      </c>
      <c r="C1852" s="198"/>
      <c r="D1852" s="332" t="s">
        <v>2314</v>
      </c>
      <c r="E1852" s="198" t="s">
        <v>309</v>
      </c>
      <c r="F1852" s="281">
        <v>1</v>
      </c>
      <c r="G1852" s="229"/>
      <c r="H1852" s="230"/>
    </row>
    <row r="1853" spans="2:8" ht="25.5">
      <c r="B1853" s="129" t="s">
        <v>2387</v>
      </c>
      <c r="C1853" s="198"/>
      <c r="D1853" s="332" t="s">
        <v>2316</v>
      </c>
      <c r="E1853" s="198" t="s">
        <v>309</v>
      </c>
      <c r="F1853" s="281">
        <v>1</v>
      </c>
      <c r="G1853" s="229"/>
      <c r="H1853" s="230"/>
    </row>
    <row r="1854" spans="2:8" ht="25.5">
      <c r="B1854" s="129" t="s">
        <v>2388</v>
      </c>
      <c r="C1854" s="198"/>
      <c r="D1854" s="332" t="s">
        <v>2348</v>
      </c>
      <c r="E1854" s="198" t="s">
        <v>309</v>
      </c>
      <c r="F1854" s="281">
        <v>1</v>
      </c>
      <c r="G1854" s="229"/>
      <c r="H1854" s="230"/>
    </row>
    <row r="1855" spans="2:8">
      <c r="B1855" s="129" t="s">
        <v>2389</v>
      </c>
      <c r="C1855" s="333"/>
      <c r="D1855" s="340" t="s">
        <v>293</v>
      </c>
      <c r="E1855" s="342"/>
      <c r="F1855" s="287"/>
      <c r="G1855" s="243"/>
      <c r="H1855" s="244"/>
    </row>
    <row r="1856" spans="2:8" ht="25.5">
      <c r="B1856" s="129" t="s">
        <v>2390</v>
      </c>
      <c r="C1856" s="198"/>
      <c r="D1856" s="332" t="s">
        <v>2307</v>
      </c>
      <c r="E1856" s="198" t="s">
        <v>309</v>
      </c>
      <c r="F1856" s="281">
        <v>1</v>
      </c>
      <c r="G1856" s="229"/>
      <c r="H1856" s="230"/>
    </row>
    <row r="1857" spans="2:8" ht="25.5">
      <c r="B1857" s="129" t="s">
        <v>2391</v>
      </c>
      <c r="C1857" s="198"/>
      <c r="D1857" s="332" t="s">
        <v>2309</v>
      </c>
      <c r="E1857" s="198" t="s">
        <v>309</v>
      </c>
      <c r="F1857" s="281">
        <v>1</v>
      </c>
      <c r="G1857" s="229"/>
      <c r="H1857" s="230"/>
    </row>
    <row r="1858" spans="2:8" ht="25.5">
      <c r="B1858" s="129" t="s">
        <v>2392</v>
      </c>
      <c r="C1858" s="198"/>
      <c r="D1858" s="332" t="s">
        <v>2340</v>
      </c>
      <c r="E1858" s="198" t="s">
        <v>309</v>
      </c>
      <c r="F1858" s="281">
        <v>1</v>
      </c>
      <c r="G1858" s="229"/>
      <c r="H1858" s="230"/>
    </row>
    <row r="1859" spans="2:8" ht="25.5">
      <c r="B1859" s="129" t="s">
        <v>2393</v>
      </c>
      <c r="C1859" s="198"/>
      <c r="D1859" s="332" t="s">
        <v>2342</v>
      </c>
      <c r="E1859" s="198" t="s">
        <v>309</v>
      </c>
      <c r="F1859" s="281">
        <v>1</v>
      </c>
      <c r="G1859" s="229"/>
      <c r="H1859" s="230"/>
    </row>
    <row r="1860" spans="2:8" ht="25.5">
      <c r="B1860" s="129" t="s">
        <v>2394</v>
      </c>
      <c r="C1860" s="198"/>
      <c r="D1860" s="332" t="s">
        <v>2290</v>
      </c>
      <c r="E1860" s="198" t="s">
        <v>309</v>
      </c>
      <c r="F1860" s="281">
        <v>1</v>
      </c>
      <c r="G1860" s="229"/>
      <c r="H1860" s="230"/>
    </row>
    <row r="1861" spans="2:8" ht="25.5">
      <c r="B1861" s="129" t="s">
        <v>2395</v>
      </c>
      <c r="C1861" s="198"/>
      <c r="D1861" s="332" t="s">
        <v>2312</v>
      </c>
      <c r="E1861" s="198" t="s">
        <v>309</v>
      </c>
      <c r="F1861" s="281">
        <v>1</v>
      </c>
      <c r="G1861" s="229"/>
      <c r="H1861" s="230"/>
    </row>
    <row r="1862" spans="2:8" ht="25.5">
      <c r="B1862" s="129" t="s">
        <v>2396</v>
      </c>
      <c r="C1862" s="198"/>
      <c r="D1862" s="332" t="s">
        <v>2314</v>
      </c>
      <c r="E1862" s="198" t="s">
        <v>309</v>
      </c>
      <c r="F1862" s="281">
        <v>1</v>
      </c>
      <c r="G1862" s="229"/>
      <c r="H1862" s="230"/>
    </row>
    <row r="1863" spans="2:8" ht="25.5">
      <c r="B1863" s="129" t="s">
        <v>2397</v>
      </c>
      <c r="C1863" s="198"/>
      <c r="D1863" s="332" t="s">
        <v>2316</v>
      </c>
      <c r="E1863" s="198" t="s">
        <v>309</v>
      </c>
      <c r="F1863" s="281">
        <v>1</v>
      </c>
      <c r="G1863" s="229"/>
      <c r="H1863" s="230"/>
    </row>
    <row r="1864" spans="2:8" ht="25.5">
      <c r="B1864" s="129" t="s">
        <v>2398</v>
      </c>
      <c r="C1864" s="198"/>
      <c r="D1864" s="332" t="s">
        <v>2318</v>
      </c>
      <c r="E1864" s="198" t="s">
        <v>309</v>
      </c>
      <c r="F1864" s="281">
        <v>1</v>
      </c>
      <c r="G1864" s="229"/>
      <c r="H1864" s="230"/>
    </row>
    <row r="1865" spans="2:8">
      <c r="B1865" s="129" t="s">
        <v>2399</v>
      </c>
      <c r="C1865" s="198"/>
      <c r="D1865" s="340" t="s">
        <v>719</v>
      </c>
      <c r="E1865" s="342"/>
      <c r="F1865" s="287"/>
      <c r="G1865" s="243"/>
      <c r="H1865" s="244"/>
    </row>
    <row r="1866" spans="2:8" ht="25.5">
      <c r="B1866" s="129" t="s">
        <v>2400</v>
      </c>
      <c r="C1866" s="198"/>
      <c r="D1866" s="332" t="s">
        <v>2307</v>
      </c>
      <c r="E1866" s="198" t="s">
        <v>309</v>
      </c>
      <c r="F1866" s="281">
        <v>1</v>
      </c>
      <c r="G1866" s="229"/>
      <c r="H1866" s="230"/>
    </row>
    <row r="1867" spans="2:8" ht="25.5">
      <c r="B1867" s="129" t="s">
        <v>2401</v>
      </c>
      <c r="C1867" s="198"/>
      <c r="D1867" s="332" t="s">
        <v>2309</v>
      </c>
      <c r="E1867" s="198" t="s">
        <v>309</v>
      </c>
      <c r="F1867" s="281">
        <v>1</v>
      </c>
      <c r="G1867" s="229"/>
      <c r="H1867" s="230"/>
    </row>
    <row r="1868" spans="2:8" ht="25.5">
      <c r="B1868" s="129" t="s">
        <v>2402</v>
      </c>
      <c r="C1868" s="198"/>
      <c r="D1868" s="332" t="s">
        <v>2290</v>
      </c>
      <c r="E1868" s="198" t="s">
        <v>309</v>
      </c>
      <c r="F1868" s="281">
        <v>1</v>
      </c>
      <c r="G1868" s="229"/>
      <c r="H1868" s="230"/>
    </row>
    <row r="1869" spans="2:8" ht="15">
      <c r="B1869" s="186" t="s">
        <v>2403</v>
      </c>
      <c r="C1869" s="312"/>
      <c r="D1869" s="313" t="s">
        <v>112</v>
      </c>
      <c r="E1869" s="314"/>
      <c r="F1869" s="283"/>
      <c r="G1869" s="233"/>
      <c r="H1869" s="234"/>
    </row>
    <row r="1870" spans="2:8">
      <c r="B1870" s="129" t="s">
        <v>2404</v>
      </c>
      <c r="C1870" s="198"/>
      <c r="D1870" s="332" t="s">
        <v>801</v>
      </c>
      <c r="E1870" s="198"/>
      <c r="F1870" s="281"/>
      <c r="G1870" s="229"/>
      <c r="H1870" s="230"/>
    </row>
    <row r="1871" spans="2:8" ht="25.5">
      <c r="B1871" s="129" t="s">
        <v>2405</v>
      </c>
      <c r="C1871" s="198"/>
      <c r="D1871" s="332" t="s">
        <v>2406</v>
      </c>
      <c r="E1871" s="198" t="s">
        <v>309</v>
      </c>
      <c r="F1871" s="281">
        <v>1</v>
      </c>
      <c r="G1871" s="229"/>
      <c r="H1871" s="230"/>
    </row>
    <row r="1872" spans="2:8" ht="25.5">
      <c r="B1872" s="129" t="s">
        <v>2407</v>
      </c>
      <c r="C1872" s="198"/>
      <c r="D1872" s="332" t="s">
        <v>2408</v>
      </c>
      <c r="E1872" s="198" t="s">
        <v>309</v>
      </c>
      <c r="F1872" s="281">
        <v>1</v>
      </c>
      <c r="G1872" s="229"/>
      <c r="H1872" s="230"/>
    </row>
    <row r="1873" spans="2:8" ht="51">
      <c r="B1873" s="129" t="s">
        <v>2409</v>
      </c>
      <c r="C1873" s="198"/>
      <c r="D1873" s="332" t="s">
        <v>2292</v>
      </c>
      <c r="E1873" s="198" t="s">
        <v>309</v>
      </c>
      <c r="F1873" s="281">
        <v>1</v>
      </c>
      <c r="G1873" s="229"/>
      <c r="H1873" s="230"/>
    </row>
    <row r="1874" spans="2:8" ht="25.5">
      <c r="B1874" s="129" t="s">
        <v>2410</v>
      </c>
      <c r="C1874" s="198"/>
      <c r="D1874" s="332" t="s">
        <v>2294</v>
      </c>
      <c r="E1874" s="198" t="s">
        <v>309</v>
      </c>
      <c r="F1874" s="281">
        <v>1</v>
      </c>
      <c r="G1874" s="229"/>
      <c r="H1874" s="230"/>
    </row>
    <row r="1875" spans="2:8" ht="25.5">
      <c r="B1875" s="129" t="s">
        <v>2411</v>
      </c>
      <c r="C1875" s="198"/>
      <c r="D1875" s="332" t="s">
        <v>2314</v>
      </c>
      <c r="E1875" s="198" t="s">
        <v>309</v>
      </c>
      <c r="F1875" s="281">
        <v>1</v>
      </c>
      <c r="G1875" s="229"/>
      <c r="H1875" s="230"/>
    </row>
    <row r="1876" spans="2:8" ht="25.5">
      <c r="B1876" s="129" t="s">
        <v>2412</v>
      </c>
      <c r="C1876" s="198"/>
      <c r="D1876" s="332" t="s">
        <v>2316</v>
      </c>
      <c r="E1876" s="198" t="s">
        <v>309</v>
      </c>
      <c r="F1876" s="281">
        <v>1</v>
      </c>
      <c r="G1876" s="229"/>
      <c r="H1876" s="230"/>
    </row>
    <row r="1877" spans="2:8" ht="25.5">
      <c r="B1877" s="129" t="s">
        <v>2413</v>
      </c>
      <c r="C1877" s="198"/>
      <c r="D1877" s="332" t="s">
        <v>2348</v>
      </c>
      <c r="E1877" s="198" t="s">
        <v>309</v>
      </c>
      <c r="F1877" s="281">
        <v>1</v>
      </c>
      <c r="G1877" s="229"/>
      <c r="H1877" s="230"/>
    </row>
    <row r="1878" spans="2:8">
      <c r="B1878" s="129" t="s">
        <v>2414</v>
      </c>
      <c r="C1878" s="198"/>
      <c r="D1878" s="332" t="s">
        <v>398</v>
      </c>
      <c r="E1878" s="198"/>
      <c r="F1878" s="281"/>
      <c r="G1878" s="229"/>
      <c r="H1878" s="230"/>
    </row>
    <row r="1879" spans="2:8" ht="25.5">
      <c r="B1879" s="129" t="s">
        <v>2415</v>
      </c>
      <c r="C1879" s="198"/>
      <c r="D1879" s="332" t="s">
        <v>2314</v>
      </c>
      <c r="E1879" s="198" t="s">
        <v>309</v>
      </c>
      <c r="F1879" s="281">
        <v>1</v>
      </c>
      <c r="G1879" s="229"/>
      <c r="H1879" s="230"/>
    </row>
    <row r="1880" spans="2:8" ht="25.5">
      <c r="B1880" s="129" t="s">
        <v>2416</v>
      </c>
      <c r="C1880" s="198"/>
      <c r="D1880" s="332" t="s">
        <v>2316</v>
      </c>
      <c r="E1880" s="198" t="s">
        <v>309</v>
      </c>
      <c r="F1880" s="281">
        <v>1</v>
      </c>
      <c r="G1880" s="229"/>
      <c r="H1880" s="230"/>
    </row>
    <row r="1881" spans="2:8" ht="25.5">
      <c r="B1881" s="129" t="s">
        <v>2417</v>
      </c>
      <c r="C1881" s="198"/>
      <c r="D1881" s="332" t="s">
        <v>2348</v>
      </c>
      <c r="E1881" s="198" t="s">
        <v>309</v>
      </c>
      <c r="F1881" s="281">
        <v>1</v>
      </c>
      <c r="G1881" s="229"/>
      <c r="H1881" s="230"/>
    </row>
    <row r="1882" spans="2:8" ht="25.5">
      <c r="B1882" s="129" t="s">
        <v>2418</v>
      </c>
      <c r="C1882" s="198"/>
      <c r="D1882" s="332" t="s">
        <v>2419</v>
      </c>
      <c r="E1882" s="198" t="s">
        <v>309</v>
      </c>
      <c r="F1882" s="281">
        <v>1</v>
      </c>
      <c r="G1882" s="229"/>
      <c r="H1882" s="230"/>
    </row>
    <row r="1883" spans="2:8" ht="25.5">
      <c r="B1883" s="129" t="s">
        <v>2420</v>
      </c>
      <c r="C1883" s="198"/>
      <c r="D1883" s="332" t="s">
        <v>2421</v>
      </c>
      <c r="E1883" s="198" t="s">
        <v>309</v>
      </c>
      <c r="F1883" s="281">
        <v>1</v>
      </c>
      <c r="G1883" s="229"/>
      <c r="H1883" s="230"/>
    </row>
    <row r="1884" spans="2:8" ht="14.25">
      <c r="B1884" s="186" t="s">
        <v>2422</v>
      </c>
      <c r="C1884" s="323"/>
      <c r="D1884" s="324" t="s">
        <v>407</v>
      </c>
      <c r="E1884" s="325"/>
      <c r="F1884" s="286"/>
      <c r="G1884" s="238"/>
      <c r="H1884" s="239"/>
    </row>
    <row r="1885" spans="2:8">
      <c r="B1885" s="129" t="s">
        <v>2423</v>
      </c>
      <c r="C1885" s="198"/>
      <c r="D1885" s="332" t="s">
        <v>2424</v>
      </c>
      <c r="E1885" s="198"/>
      <c r="F1885" s="281"/>
      <c r="G1885" s="229"/>
      <c r="H1885" s="230"/>
    </row>
    <row r="1886" spans="2:8" ht="25.5">
      <c r="B1886" s="129" t="s">
        <v>2425</v>
      </c>
      <c r="C1886" s="198"/>
      <c r="D1886" s="332" t="s">
        <v>2426</v>
      </c>
      <c r="E1886" s="198" t="s">
        <v>309</v>
      </c>
      <c r="F1886" s="281">
        <v>1</v>
      </c>
      <c r="G1886" s="229"/>
      <c r="H1886" s="230"/>
    </row>
    <row r="1887" spans="2:8" ht="25.5">
      <c r="B1887" s="129" t="s">
        <v>2427</v>
      </c>
      <c r="C1887" s="198"/>
      <c r="D1887" s="332" t="s">
        <v>2428</v>
      </c>
      <c r="E1887" s="198" t="s">
        <v>309</v>
      </c>
      <c r="F1887" s="281">
        <v>1</v>
      </c>
      <c r="G1887" s="229"/>
      <c r="H1887" s="230"/>
    </row>
    <row r="1888" spans="2:8" ht="25.5">
      <c r="B1888" s="129" t="s">
        <v>2429</v>
      </c>
      <c r="C1888" s="198"/>
      <c r="D1888" s="332" t="s">
        <v>2430</v>
      </c>
      <c r="E1888" s="198" t="s">
        <v>309</v>
      </c>
      <c r="F1888" s="281">
        <v>1</v>
      </c>
      <c r="G1888" s="229"/>
      <c r="H1888" s="230"/>
    </row>
    <row r="1889" spans="2:8" ht="25.5">
      <c r="B1889" s="129" t="s">
        <v>2431</v>
      </c>
      <c r="C1889" s="198"/>
      <c r="D1889" s="332" t="s">
        <v>2421</v>
      </c>
      <c r="E1889" s="198" t="s">
        <v>309</v>
      </c>
      <c r="F1889" s="281">
        <v>1</v>
      </c>
      <c r="G1889" s="229"/>
      <c r="H1889" s="230"/>
    </row>
    <row r="1890" spans="2:8">
      <c r="B1890" s="129" t="s">
        <v>2432</v>
      </c>
      <c r="C1890" s="198"/>
      <c r="D1890" s="332" t="s">
        <v>121</v>
      </c>
      <c r="E1890" s="198"/>
      <c r="F1890" s="281"/>
      <c r="G1890" s="229"/>
      <c r="H1890" s="230"/>
    </row>
    <row r="1891" spans="2:8" ht="25.5">
      <c r="B1891" s="129" t="s">
        <v>2433</v>
      </c>
      <c r="C1891" s="198"/>
      <c r="D1891" s="332" t="s">
        <v>2434</v>
      </c>
      <c r="E1891" s="198" t="s">
        <v>309</v>
      </c>
      <c r="F1891" s="281">
        <v>1</v>
      </c>
      <c r="G1891" s="229"/>
      <c r="H1891" s="230"/>
    </row>
    <row r="1892" spans="2:8" ht="25.5">
      <c r="B1892" s="129" t="s">
        <v>2435</v>
      </c>
      <c r="C1892" s="198"/>
      <c r="D1892" s="332" t="s">
        <v>2436</v>
      </c>
      <c r="E1892" s="198" t="s">
        <v>309</v>
      </c>
      <c r="F1892" s="281">
        <v>1</v>
      </c>
      <c r="G1892" s="229"/>
      <c r="H1892" s="230"/>
    </row>
    <row r="1893" spans="2:8" ht="15">
      <c r="B1893" s="186" t="s">
        <v>2437</v>
      </c>
      <c r="C1893" s="312"/>
      <c r="D1893" s="313" t="s">
        <v>2438</v>
      </c>
      <c r="E1893" s="314"/>
      <c r="F1893" s="283"/>
      <c r="G1893" s="233"/>
      <c r="H1893" s="234"/>
    </row>
    <row r="1894" spans="2:8">
      <c r="B1894" s="129" t="s">
        <v>2439</v>
      </c>
      <c r="C1894" s="198"/>
      <c r="D1894" s="332" t="s">
        <v>2440</v>
      </c>
      <c r="E1894" s="198"/>
      <c r="F1894" s="281"/>
      <c r="G1894" s="229"/>
      <c r="H1894" s="230"/>
    </row>
    <row r="1895" spans="2:8">
      <c r="B1895" s="129" t="s">
        <v>2441</v>
      </c>
      <c r="C1895" s="198"/>
      <c r="D1895" s="332" t="s">
        <v>2442</v>
      </c>
      <c r="E1895" s="198" t="s">
        <v>309</v>
      </c>
      <c r="F1895" s="281">
        <v>1</v>
      </c>
      <c r="G1895" s="229"/>
      <c r="H1895" s="230"/>
    </row>
    <row r="1896" spans="2:8">
      <c r="B1896" s="129" t="s">
        <v>2443</v>
      </c>
      <c r="C1896" s="198"/>
      <c r="D1896" s="332" t="s">
        <v>2444</v>
      </c>
      <c r="E1896" s="198" t="s">
        <v>309</v>
      </c>
      <c r="F1896" s="281">
        <v>1</v>
      </c>
      <c r="G1896" s="229"/>
      <c r="H1896" s="230"/>
    </row>
    <row r="1897" spans="2:8">
      <c r="B1897" s="129" t="s">
        <v>2445</v>
      </c>
      <c r="C1897" s="198"/>
      <c r="D1897" s="332" t="s">
        <v>2446</v>
      </c>
      <c r="E1897" s="198" t="s">
        <v>309</v>
      </c>
      <c r="F1897" s="281">
        <v>1</v>
      </c>
      <c r="G1897" s="229"/>
      <c r="H1897" s="230"/>
    </row>
    <row r="1898" spans="2:8" ht="25.5">
      <c r="B1898" s="129" t="s">
        <v>2447</v>
      </c>
      <c r="C1898" s="198"/>
      <c r="D1898" s="332" t="s">
        <v>2448</v>
      </c>
      <c r="E1898" s="198" t="s">
        <v>309</v>
      </c>
      <c r="F1898" s="281">
        <v>1</v>
      </c>
      <c r="G1898" s="229"/>
      <c r="H1898" s="230"/>
    </row>
    <row r="1899" spans="2:8">
      <c r="B1899" s="129" t="s">
        <v>2449</v>
      </c>
      <c r="C1899" s="198"/>
      <c r="D1899" s="332" t="s">
        <v>2450</v>
      </c>
      <c r="E1899" s="198" t="s">
        <v>309</v>
      </c>
      <c r="F1899" s="281">
        <v>1</v>
      </c>
      <c r="G1899" s="229"/>
      <c r="H1899" s="230"/>
    </row>
    <row r="1900" spans="2:8">
      <c r="B1900" s="129" t="s">
        <v>2451</v>
      </c>
      <c r="C1900" s="198"/>
      <c r="D1900" s="332" t="s">
        <v>2452</v>
      </c>
      <c r="E1900" s="198" t="s">
        <v>309</v>
      </c>
      <c r="F1900" s="281">
        <v>1</v>
      </c>
      <c r="G1900" s="229"/>
      <c r="H1900" s="230"/>
    </row>
    <row r="1901" spans="2:8">
      <c r="B1901" s="129" t="s">
        <v>2453</v>
      </c>
      <c r="C1901" s="198"/>
      <c r="D1901" s="332" t="s">
        <v>2454</v>
      </c>
      <c r="E1901" s="198"/>
      <c r="F1901" s="281"/>
      <c r="G1901" s="229"/>
      <c r="H1901" s="230"/>
    </row>
    <row r="1902" spans="2:8" ht="38.25">
      <c r="B1902" s="129" t="s">
        <v>2455</v>
      </c>
      <c r="C1902" s="198"/>
      <c r="D1902" s="332" t="s">
        <v>2456</v>
      </c>
      <c r="E1902" s="198" t="s">
        <v>309</v>
      </c>
      <c r="F1902" s="281">
        <v>1</v>
      </c>
      <c r="G1902" s="229"/>
      <c r="H1902" s="230"/>
    </row>
    <row r="1903" spans="2:8" ht="38.25">
      <c r="B1903" s="129" t="s">
        <v>2457</v>
      </c>
      <c r="C1903" s="198"/>
      <c r="D1903" s="332" t="s">
        <v>2458</v>
      </c>
      <c r="E1903" s="198" t="s">
        <v>309</v>
      </c>
      <c r="F1903" s="281">
        <v>1</v>
      </c>
      <c r="G1903" s="229"/>
      <c r="H1903" s="230"/>
    </row>
    <row r="1904" spans="2:8" ht="38.25">
      <c r="B1904" s="129" t="s">
        <v>2459</v>
      </c>
      <c r="C1904" s="198"/>
      <c r="D1904" s="332" t="s">
        <v>2460</v>
      </c>
      <c r="E1904" s="198" t="s">
        <v>309</v>
      </c>
      <c r="F1904" s="281">
        <v>1</v>
      </c>
      <c r="G1904" s="229"/>
      <c r="H1904" s="230"/>
    </row>
    <row r="1905" spans="2:8" ht="38.25">
      <c r="B1905" s="129" t="s">
        <v>2461</v>
      </c>
      <c r="C1905" s="198"/>
      <c r="D1905" s="332" t="s">
        <v>2462</v>
      </c>
      <c r="E1905" s="198" t="s">
        <v>309</v>
      </c>
      <c r="F1905" s="281">
        <v>1</v>
      </c>
      <c r="G1905" s="229"/>
      <c r="H1905" s="230"/>
    </row>
    <row r="1906" spans="2:8">
      <c r="B1906" s="129" t="s">
        <v>2463</v>
      </c>
      <c r="C1906" s="198"/>
      <c r="D1906" s="332" t="s">
        <v>2464</v>
      </c>
      <c r="E1906" s="198"/>
      <c r="F1906" s="281"/>
      <c r="G1906" s="229"/>
      <c r="H1906" s="230"/>
    </row>
    <row r="1907" spans="2:8" ht="38.25">
      <c r="B1907" s="129" t="s">
        <v>2465</v>
      </c>
      <c r="C1907" s="198"/>
      <c r="D1907" s="332" t="s">
        <v>2466</v>
      </c>
      <c r="E1907" s="198" t="s">
        <v>309</v>
      </c>
      <c r="F1907" s="281">
        <v>1</v>
      </c>
      <c r="G1907" s="229"/>
      <c r="H1907" s="230"/>
    </row>
    <row r="1908" spans="2:8" ht="38.25">
      <c r="B1908" s="129" t="s">
        <v>2467</v>
      </c>
      <c r="C1908" s="198"/>
      <c r="D1908" s="332" t="s">
        <v>2468</v>
      </c>
      <c r="E1908" s="198" t="s">
        <v>309</v>
      </c>
      <c r="F1908" s="281">
        <v>1</v>
      </c>
      <c r="G1908" s="229"/>
      <c r="H1908" s="230"/>
    </row>
    <row r="1909" spans="2:8" ht="38.25">
      <c r="B1909" s="129" t="s">
        <v>2469</v>
      </c>
      <c r="C1909" s="198"/>
      <c r="D1909" s="332" t="s">
        <v>2470</v>
      </c>
      <c r="E1909" s="198" t="s">
        <v>309</v>
      </c>
      <c r="F1909" s="281">
        <v>1</v>
      </c>
      <c r="G1909" s="229"/>
      <c r="H1909" s="230"/>
    </row>
    <row r="1910" spans="2:8" ht="39" thickBot="1">
      <c r="B1910" s="129" t="s">
        <v>2471</v>
      </c>
      <c r="C1910" s="198"/>
      <c r="D1910" s="332" t="s">
        <v>2472</v>
      </c>
      <c r="E1910" s="198" t="s">
        <v>309</v>
      </c>
      <c r="F1910" s="281">
        <v>1</v>
      </c>
      <c r="G1910" s="229"/>
      <c r="H1910" s="230"/>
    </row>
    <row r="1911" spans="2:8" ht="16.5" thickBot="1">
      <c r="B1911" s="479" t="s">
        <v>2473</v>
      </c>
      <c r="C1911" s="480" t="s">
        <v>2474</v>
      </c>
      <c r="D1911" s="481" t="s">
        <v>2475</v>
      </c>
      <c r="E1911" s="482"/>
      <c r="F1911" s="483"/>
      <c r="G1911" s="493"/>
      <c r="H1911" s="280"/>
    </row>
    <row r="1912" spans="2:8" ht="15">
      <c r="B1912" s="486" t="s">
        <v>2476</v>
      </c>
      <c r="C1912" s="487"/>
      <c r="D1912" s="488" t="s">
        <v>1536</v>
      </c>
      <c r="E1912" s="489"/>
      <c r="F1912" s="490"/>
      <c r="G1912" s="491"/>
      <c r="H1912" s="492"/>
    </row>
    <row r="1913" spans="2:8">
      <c r="B1913" s="129" t="s">
        <v>2477</v>
      </c>
      <c r="C1913" s="198"/>
      <c r="D1913" s="332" t="s">
        <v>2478</v>
      </c>
      <c r="E1913" s="198" t="s">
        <v>309</v>
      </c>
      <c r="F1913" s="281">
        <v>1</v>
      </c>
      <c r="G1913" s="229"/>
      <c r="H1913" s="230"/>
    </row>
    <row r="1914" spans="2:8" ht="25.5">
      <c r="B1914" s="129" t="s">
        <v>2479</v>
      </c>
      <c r="C1914" s="198"/>
      <c r="D1914" s="332" t="s">
        <v>2480</v>
      </c>
      <c r="E1914" s="198" t="s">
        <v>309</v>
      </c>
      <c r="F1914" s="281">
        <v>1</v>
      </c>
      <c r="G1914" s="229"/>
      <c r="H1914" s="230"/>
    </row>
    <row r="1915" spans="2:8" ht="25.5">
      <c r="B1915" s="129" t="s">
        <v>2481</v>
      </c>
      <c r="C1915" s="198"/>
      <c r="D1915" s="332" t="s">
        <v>2482</v>
      </c>
      <c r="E1915" s="198" t="s">
        <v>309</v>
      </c>
      <c r="F1915" s="281">
        <v>1</v>
      </c>
      <c r="G1915" s="229"/>
      <c r="H1915" s="230"/>
    </row>
    <row r="1916" spans="2:8" ht="38.25">
      <c r="B1916" s="129" t="s">
        <v>2483</v>
      </c>
      <c r="C1916" s="198"/>
      <c r="D1916" s="332" t="s">
        <v>2484</v>
      </c>
      <c r="E1916" s="198" t="s">
        <v>309</v>
      </c>
      <c r="F1916" s="281">
        <v>1</v>
      </c>
      <c r="G1916" s="229"/>
      <c r="H1916" s="230"/>
    </row>
    <row r="1917" spans="2:8" ht="25.5">
      <c r="B1917" s="129" t="s">
        <v>2485</v>
      </c>
      <c r="C1917" s="198"/>
      <c r="D1917" s="332" t="s">
        <v>2486</v>
      </c>
      <c r="E1917" s="198" t="s">
        <v>2258</v>
      </c>
      <c r="F1917" s="281">
        <v>282</v>
      </c>
      <c r="G1917" s="229"/>
      <c r="H1917" s="230"/>
    </row>
    <row r="1918" spans="2:8" ht="25.5">
      <c r="B1918" s="129" t="s">
        <v>2487</v>
      </c>
      <c r="C1918" s="198"/>
      <c r="D1918" s="332" t="s">
        <v>2488</v>
      </c>
      <c r="E1918" s="198" t="s">
        <v>2258</v>
      </c>
      <c r="F1918" s="281">
        <v>659</v>
      </c>
      <c r="G1918" s="229"/>
      <c r="H1918" s="230"/>
    </row>
    <row r="1919" spans="2:8" ht="25.5">
      <c r="B1919" s="129" t="s">
        <v>2489</v>
      </c>
      <c r="C1919" s="198"/>
      <c r="D1919" s="332" t="s">
        <v>2490</v>
      </c>
      <c r="E1919" s="198" t="s">
        <v>2258</v>
      </c>
      <c r="F1919" s="281">
        <v>233</v>
      </c>
      <c r="G1919" s="229"/>
      <c r="H1919" s="230"/>
    </row>
    <row r="1920" spans="2:8" ht="25.5">
      <c r="B1920" s="129" t="s">
        <v>2491</v>
      </c>
      <c r="C1920" s="198"/>
      <c r="D1920" s="332" t="s">
        <v>2492</v>
      </c>
      <c r="E1920" s="198" t="s">
        <v>2258</v>
      </c>
      <c r="F1920" s="281">
        <v>577</v>
      </c>
      <c r="G1920" s="229"/>
      <c r="H1920" s="230"/>
    </row>
    <row r="1921" spans="2:8" ht="25.5">
      <c r="B1921" s="129" t="s">
        <v>2493</v>
      </c>
      <c r="C1921" s="198"/>
      <c r="D1921" s="332" t="s">
        <v>2494</v>
      </c>
      <c r="E1921" s="198" t="s">
        <v>2258</v>
      </c>
      <c r="F1921" s="281">
        <v>302</v>
      </c>
      <c r="G1921" s="229"/>
      <c r="H1921" s="230"/>
    </row>
    <row r="1922" spans="2:8" ht="25.5">
      <c r="B1922" s="129" t="s">
        <v>2495</v>
      </c>
      <c r="C1922" s="198"/>
      <c r="D1922" s="332" t="s">
        <v>2496</v>
      </c>
      <c r="E1922" s="198" t="s">
        <v>2258</v>
      </c>
      <c r="F1922" s="281">
        <v>230</v>
      </c>
      <c r="G1922" s="229"/>
      <c r="H1922" s="230"/>
    </row>
    <row r="1923" spans="2:8" ht="25.5">
      <c r="B1923" s="129" t="s">
        <v>2497</v>
      </c>
      <c r="C1923" s="198"/>
      <c r="D1923" s="332" t="s">
        <v>2498</v>
      </c>
      <c r="E1923" s="198" t="s">
        <v>2258</v>
      </c>
      <c r="F1923" s="281">
        <v>178</v>
      </c>
      <c r="G1923" s="229"/>
      <c r="H1923" s="230"/>
    </row>
    <row r="1924" spans="2:8" ht="25.5">
      <c r="B1924" s="129" t="s">
        <v>2499</v>
      </c>
      <c r="C1924" s="198"/>
      <c r="D1924" s="332" t="s">
        <v>2500</v>
      </c>
      <c r="E1924" s="198" t="s">
        <v>2258</v>
      </c>
      <c r="F1924" s="281">
        <v>325</v>
      </c>
      <c r="G1924" s="229"/>
      <c r="H1924" s="230"/>
    </row>
    <row r="1925" spans="2:8" ht="25.5">
      <c r="B1925" s="129" t="s">
        <v>2501</v>
      </c>
      <c r="C1925" s="198"/>
      <c r="D1925" s="332" t="s">
        <v>2502</v>
      </c>
      <c r="E1925" s="198" t="s">
        <v>2245</v>
      </c>
      <c r="F1925" s="281">
        <v>56</v>
      </c>
      <c r="G1925" s="229"/>
      <c r="H1925" s="230"/>
    </row>
    <row r="1926" spans="2:8" ht="25.5">
      <c r="B1926" s="129" t="s">
        <v>2503</v>
      </c>
      <c r="C1926" s="198"/>
      <c r="D1926" s="332" t="s">
        <v>2504</v>
      </c>
      <c r="E1926" s="198" t="s">
        <v>2245</v>
      </c>
      <c r="F1926" s="281">
        <v>44</v>
      </c>
      <c r="G1926" s="229"/>
      <c r="H1926" s="230"/>
    </row>
    <row r="1927" spans="2:8" ht="25.5">
      <c r="B1927" s="129" t="s">
        <v>2505</v>
      </c>
      <c r="C1927" s="198"/>
      <c r="D1927" s="332" t="s">
        <v>2506</v>
      </c>
      <c r="E1927" s="198" t="s">
        <v>2245</v>
      </c>
      <c r="F1927" s="281">
        <v>35</v>
      </c>
      <c r="G1927" s="229"/>
      <c r="H1927" s="230"/>
    </row>
    <row r="1928" spans="2:8" ht="25.5">
      <c r="B1928" s="129" t="s">
        <v>2507</v>
      </c>
      <c r="C1928" s="198"/>
      <c r="D1928" s="332" t="s">
        <v>2508</v>
      </c>
      <c r="E1928" s="198" t="s">
        <v>2245</v>
      </c>
      <c r="F1928" s="281">
        <v>3</v>
      </c>
      <c r="G1928" s="229"/>
      <c r="H1928" s="230"/>
    </row>
    <row r="1929" spans="2:8" ht="25.5">
      <c r="B1929" s="129" t="s">
        <v>2509</v>
      </c>
      <c r="C1929" s="198"/>
      <c r="D1929" s="332" t="s">
        <v>2510</v>
      </c>
      <c r="E1929" s="198" t="s">
        <v>2245</v>
      </c>
      <c r="F1929" s="281">
        <v>7</v>
      </c>
      <c r="G1929" s="229"/>
      <c r="H1929" s="230"/>
    </row>
    <row r="1930" spans="2:8" ht="25.5">
      <c r="B1930" s="129" t="s">
        <v>2511</v>
      </c>
      <c r="C1930" s="198"/>
      <c r="D1930" s="332" t="s">
        <v>2512</v>
      </c>
      <c r="E1930" s="198" t="s">
        <v>2245</v>
      </c>
      <c r="F1930" s="281">
        <v>16</v>
      </c>
      <c r="G1930" s="229"/>
      <c r="H1930" s="230"/>
    </row>
    <row r="1931" spans="2:8" ht="25.5">
      <c r="B1931" s="129" t="s">
        <v>2513</v>
      </c>
      <c r="C1931" s="198"/>
      <c r="D1931" s="332" t="s">
        <v>2514</v>
      </c>
      <c r="E1931" s="198" t="s">
        <v>2245</v>
      </c>
      <c r="F1931" s="281">
        <v>186</v>
      </c>
      <c r="G1931" s="229"/>
      <c r="H1931" s="230"/>
    </row>
    <row r="1932" spans="2:8" ht="25.5">
      <c r="B1932" s="129" t="s">
        <v>2515</v>
      </c>
      <c r="C1932" s="198"/>
      <c r="D1932" s="332" t="s">
        <v>2516</v>
      </c>
      <c r="E1932" s="198" t="s">
        <v>2245</v>
      </c>
      <c r="F1932" s="281">
        <v>68</v>
      </c>
      <c r="G1932" s="229"/>
      <c r="H1932" s="230"/>
    </row>
    <row r="1933" spans="2:8" ht="25.5">
      <c r="B1933" s="129" t="s">
        <v>2517</v>
      </c>
      <c r="C1933" s="198"/>
      <c r="D1933" s="332" t="s">
        <v>2518</v>
      </c>
      <c r="E1933" s="198" t="s">
        <v>2245</v>
      </c>
      <c r="F1933" s="281">
        <v>116</v>
      </c>
      <c r="G1933" s="229"/>
      <c r="H1933" s="230"/>
    </row>
    <row r="1934" spans="2:8" ht="51">
      <c r="B1934" s="129" t="s">
        <v>2519</v>
      </c>
      <c r="C1934" s="198"/>
      <c r="D1934" s="332" t="s">
        <v>2520</v>
      </c>
      <c r="E1934" s="198" t="s">
        <v>2245</v>
      </c>
      <c r="F1934" s="281">
        <v>2</v>
      </c>
      <c r="G1934" s="229"/>
      <c r="H1934" s="230"/>
    </row>
    <row r="1935" spans="2:8" ht="51">
      <c r="B1935" s="129" t="s">
        <v>2521</v>
      </c>
      <c r="C1935" s="198"/>
      <c r="D1935" s="332" t="s">
        <v>2522</v>
      </c>
      <c r="E1935" s="198" t="s">
        <v>2245</v>
      </c>
      <c r="F1935" s="281">
        <v>2</v>
      </c>
      <c r="G1935" s="229"/>
      <c r="H1935" s="230"/>
    </row>
    <row r="1936" spans="2:8" ht="51">
      <c r="B1936" s="129" t="s">
        <v>2523</v>
      </c>
      <c r="C1936" s="198"/>
      <c r="D1936" s="332" t="s">
        <v>2524</v>
      </c>
      <c r="E1936" s="198" t="s">
        <v>2245</v>
      </c>
      <c r="F1936" s="281">
        <v>1</v>
      </c>
      <c r="G1936" s="229"/>
      <c r="H1936" s="230"/>
    </row>
    <row r="1937" spans="2:8" ht="15">
      <c r="B1937" s="186" t="s">
        <v>2525</v>
      </c>
      <c r="C1937" s="312"/>
      <c r="D1937" s="313" t="s">
        <v>2284</v>
      </c>
      <c r="E1937" s="314"/>
      <c r="F1937" s="283"/>
      <c r="G1937" s="233"/>
      <c r="H1937" s="234"/>
    </row>
    <row r="1938" spans="2:8" ht="25.5">
      <c r="B1938" s="129" t="s">
        <v>2526</v>
      </c>
      <c r="C1938" s="198"/>
      <c r="D1938" s="332" t="s">
        <v>2527</v>
      </c>
      <c r="E1938" s="198" t="s">
        <v>309</v>
      </c>
      <c r="F1938" s="281">
        <v>1</v>
      </c>
      <c r="G1938" s="229"/>
      <c r="H1938" s="230"/>
    </row>
    <row r="1939" spans="2:8" ht="25.5">
      <c r="B1939" s="129" t="s">
        <v>2528</v>
      </c>
      <c r="C1939" s="198"/>
      <c r="D1939" s="332" t="s">
        <v>2529</v>
      </c>
      <c r="E1939" s="198" t="s">
        <v>309</v>
      </c>
      <c r="F1939" s="281">
        <v>1</v>
      </c>
      <c r="G1939" s="229"/>
      <c r="H1939" s="230"/>
    </row>
    <row r="1940" spans="2:8" ht="25.5">
      <c r="B1940" s="129" t="s">
        <v>2530</v>
      </c>
      <c r="C1940" s="198"/>
      <c r="D1940" s="332" t="s">
        <v>2531</v>
      </c>
      <c r="E1940" s="198" t="s">
        <v>309</v>
      </c>
      <c r="F1940" s="281">
        <v>1</v>
      </c>
      <c r="G1940" s="229"/>
      <c r="H1940" s="230"/>
    </row>
    <row r="1941" spans="2:8" ht="15">
      <c r="B1941" s="186" t="s">
        <v>2532</v>
      </c>
      <c r="C1941" s="312"/>
      <c r="D1941" s="313" t="s">
        <v>222</v>
      </c>
      <c r="E1941" s="314"/>
      <c r="F1941" s="283"/>
      <c r="G1941" s="233"/>
      <c r="H1941" s="234"/>
    </row>
    <row r="1942" spans="2:8">
      <c r="B1942" s="129" t="s">
        <v>2533</v>
      </c>
      <c r="C1942" s="333"/>
      <c r="D1942" s="345" t="s">
        <v>224</v>
      </c>
      <c r="E1942" s="342"/>
      <c r="F1942" s="287"/>
      <c r="G1942" s="243"/>
      <c r="H1942" s="244"/>
    </row>
    <row r="1943" spans="2:8" ht="25.5">
      <c r="B1943" s="129" t="s">
        <v>2534</v>
      </c>
      <c r="C1943" s="198"/>
      <c r="D1943" s="332" t="s">
        <v>2535</v>
      </c>
      <c r="E1943" s="198" t="s">
        <v>309</v>
      </c>
      <c r="F1943" s="281">
        <v>1</v>
      </c>
      <c r="G1943" s="229"/>
      <c r="H1943" s="230"/>
    </row>
    <row r="1944" spans="2:8" ht="25.5">
      <c r="B1944" s="129" t="s">
        <v>2536</v>
      </c>
      <c r="C1944" s="198"/>
      <c r="D1944" s="332" t="s">
        <v>2537</v>
      </c>
      <c r="E1944" s="198" t="s">
        <v>309</v>
      </c>
      <c r="F1944" s="281">
        <v>1</v>
      </c>
      <c r="G1944" s="229"/>
      <c r="H1944" s="230"/>
    </row>
    <row r="1945" spans="2:8" ht="25.5">
      <c r="B1945" s="129" t="s">
        <v>2538</v>
      </c>
      <c r="C1945" s="198"/>
      <c r="D1945" s="332" t="s">
        <v>2539</v>
      </c>
      <c r="E1945" s="198" t="s">
        <v>309</v>
      </c>
      <c r="F1945" s="281">
        <v>1</v>
      </c>
      <c r="G1945" s="229"/>
      <c r="H1945" s="230"/>
    </row>
    <row r="1946" spans="2:8" ht="25.5">
      <c r="B1946" s="129" t="s">
        <v>2540</v>
      </c>
      <c r="C1946" s="198"/>
      <c r="D1946" s="332" t="s">
        <v>2541</v>
      </c>
      <c r="E1946" s="198" t="s">
        <v>309</v>
      </c>
      <c r="F1946" s="281">
        <v>1</v>
      </c>
      <c r="G1946" s="229"/>
      <c r="H1946" s="230"/>
    </row>
    <row r="1947" spans="2:8">
      <c r="B1947" s="129" t="s">
        <v>2542</v>
      </c>
      <c r="C1947" s="198"/>
      <c r="D1947" s="345" t="s">
        <v>236</v>
      </c>
      <c r="E1947" s="342"/>
      <c r="F1947" s="287"/>
      <c r="G1947" s="229"/>
      <c r="H1947" s="230"/>
    </row>
    <row r="1948" spans="2:8" ht="25.5">
      <c r="B1948" s="129" t="s">
        <v>2543</v>
      </c>
      <c r="C1948" s="198"/>
      <c r="D1948" s="332" t="s">
        <v>2544</v>
      </c>
      <c r="E1948" s="198" t="s">
        <v>309</v>
      </c>
      <c r="F1948" s="281">
        <v>1</v>
      </c>
      <c r="G1948" s="229"/>
      <c r="H1948" s="230"/>
    </row>
    <row r="1949" spans="2:8" ht="25.5">
      <c r="B1949" s="129" t="s">
        <v>2545</v>
      </c>
      <c r="C1949" s="198"/>
      <c r="D1949" s="332" t="s">
        <v>2529</v>
      </c>
      <c r="E1949" s="198" t="s">
        <v>309</v>
      </c>
      <c r="F1949" s="281">
        <v>1</v>
      </c>
      <c r="G1949" s="229"/>
      <c r="H1949" s="230"/>
    </row>
    <row r="1950" spans="2:8" ht="25.5">
      <c r="B1950" s="129" t="s">
        <v>2546</v>
      </c>
      <c r="C1950" s="198"/>
      <c r="D1950" s="332" t="s">
        <v>2531</v>
      </c>
      <c r="E1950" s="198" t="s">
        <v>309</v>
      </c>
      <c r="F1950" s="281">
        <v>1</v>
      </c>
      <c r="G1950" s="229"/>
      <c r="H1950" s="230"/>
    </row>
    <row r="1951" spans="2:8" ht="25.5">
      <c r="B1951" s="129" t="s">
        <v>2547</v>
      </c>
      <c r="C1951" s="198"/>
      <c r="D1951" s="332" t="s">
        <v>2548</v>
      </c>
      <c r="E1951" s="198" t="s">
        <v>309</v>
      </c>
      <c r="F1951" s="281">
        <v>1</v>
      </c>
      <c r="G1951" s="229"/>
      <c r="H1951" s="230"/>
    </row>
    <row r="1952" spans="2:8" ht="25.5">
      <c r="B1952" s="129" t="s">
        <v>2549</v>
      </c>
      <c r="C1952" s="198"/>
      <c r="D1952" s="332" t="s">
        <v>2550</v>
      </c>
      <c r="E1952" s="198" t="s">
        <v>309</v>
      </c>
      <c r="F1952" s="281">
        <v>1</v>
      </c>
      <c r="G1952" s="229"/>
      <c r="H1952" s="230"/>
    </row>
    <row r="1953" spans="2:8" ht="25.5">
      <c r="B1953" s="129" t="s">
        <v>2551</v>
      </c>
      <c r="C1953" s="198"/>
      <c r="D1953" s="332" t="s">
        <v>2552</v>
      </c>
      <c r="E1953" s="198" t="s">
        <v>309</v>
      </c>
      <c r="F1953" s="281">
        <v>1</v>
      </c>
      <c r="G1953" s="229"/>
      <c r="H1953" s="230"/>
    </row>
    <row r="1954" spans="2:8" ht="25.5">
      <c r="B1954" s="129" t="s">
        <v>2553</v>
      </c>
      <c r="C1954" s="198"/>
      <c r="D1954" s="332" t="s">
        <v>2554</v>
      </c>
      <c r="E1954" s="198" t="s">
        <v>309</v>
      </c>
      <c r="F1954" s="281">
        <v>1</v>
      </c>
      <c r="G1954" s="229"/>
      <c r="H1954" s="230"/>
    </row>
    <row r="1955" spans="2:8">
      <c r="B1955" s="129" t="s">
        <v>2555</v>
      </c>
      <c r="C1955" s="198"/>
      <c r="D1955" s="345" t="s">
        <v>243</v>
      </c>
      <c r="E1955" s="342"/>
      <c r="F1955" s="287"/>
      <c r="G1955" s="229"/>
      <c r="H1955" s="230"/>
    </row>
    <row r="1956" spans="2:8" ht="25.5">
      <c r="B1956" s="129" t="s">
        <v>2556</v>
      </c>
      <c r="C1956" s="198"/>
      <c r="D1956" s="332" t="s">
        <v>2557</v>
      </c>
      <c r="E1956" s="198" t="s">
        <v>309</v>
      </c>
      <c r="F1956" s="281">
        <v>1</v>
      </c>
      <c r="G1956" s="229"/>
      <c r="H1956" s="230"/>
    </row>
    <row r="1957" spans="2:8" ht="25.5">
      <c r="B1957" s="129" t="s">
        <v>2558</v>
      </c>
      <c r="C1957" s="198"/>
      <c r="D1957" s="332" t="s">
        <v>2559</v>
      </c>
      <c r="E1957" s="198" t="s">
        <v>309</v>
      </c>
      <c r="F1957" s="281">
        <v>1</v>
      </c>
      <c r="G1957" s="229"/>
      <c r="H1957" s="230"/>
    </row>
    <row r="1958" spans="2:8" ht="25.5">
      <c r="B1958" s="129" t="s">
        <v>2560</v>
      </c>
      <c r="C1958" s="198"/>
      <c r="D1958" s="332" t="s">
        <v>2561</v>
      </c>
      <c r="E1958" s="198" t="s">
        <v>309</v>
      </c>
      <c r="F1958" s="281">
        <v>1</v>
      </c>
      <c r="G1958" s="229"/>
      <c r="H1958" s="230"/>
    </row>
    <row r="1959" spans="2:8" ht="15">
      <c r="B1959" s="186" t="s">
        <v>2562</v>
      </c>
      <c r="C1959" s="312"/>
      <c r="D1959" s="313" t="s">
        <v>224</v>
      </c>
      <c r="E1959" s="314"/>
      <c r="F1959" s="283"/>
      <c r="G1959" s="233"/>
      <c r="H1959" s="234"/>
    </row>
    <row r="1960" spans="2:8">
      <c r="B1960" s="129" t="s">
        <v>2563</v>
      </c>
      <c r="C1960" s="198"/>
      <c r="D1960" s="332" t="s">
        <v>679</v>
      </c>
      <c r="E1960" s="198"/>
      <c r="F1960" s="281"/>
      <c r="G1960" s="229"/>
      <c r="H1960" s="230"/>
    </row>
    <row r="1961" spans="2:8" ht="25.5">
      <c r="B1961" s="129" t="s">
        <v>2564</v>
      </c>
      <c r="C1961" s="198"/>
      <c r="D1961" s="332" t="s">
        <v>2565</v>
      </c>
      <c r="E1961" s="198" t="s">
        <v>309</v>
      </c>
      <c r="F1961" s="281">
        <v>1</v>
      </c>
      <c r="G1961" s="229"/>
      <c r="H1961" s="230"/>
    </row>
    <row r="1962" spans="2:8">
      <c r="B1962" s="129" t="s">
        <v>2566</v>
      </c>
      <c r="C1962" s="333"/>
      <c r="D1962" s="340" t="s">
        <v>272</v>
      </c>
      <c r="E1962" s="342"/>
      <c r="F1962" s="287"/>
      <c r="G1962" s="243"/>
      <c r="H1962" s="244"/>
    </row>
    <row r="1963" spans="2:8" ht="25.5">
      <c r="B1963" s="129" t="s">
        <v>2567</v>
      </c>
      <c r="C1963" s="198"/>
      <c r="D1963" s="332" t="s">
        <v>2535</v>
      </c>
      <c r="E1963" s="198" t="s">
        <v>309</v>
      </c>
      <c r="F1963" s="281">
        <v>1</v>
      </c>
      <c r="G1963" s="229"/>
      <c r="H1963" s="230"/>
    </row>
    <row r="1964" spans="2:8">
      <c r="B1964" s="129" t="s">
        <v>2568</v>
      </c>
      <c r="C1964" s="333"/>
      <c r="D1964" s="340" t="s">
        <v>279</v>
      </c>
      <c r="E1964" s="342"/>
      <c r="F1964" s="287"/>
      <c r="G1964" s="243"/>
      <c r="H1964" s="244"/>
    </row>
    <row r="1965" spans="2:8" ht="25.5">
      <c r="B1965" s="129" t="s">
        <v>2569</v>
      </c>
      <c r="C1965" s="198"/>
      <c r="D1965" s="332" t="s">
        <v>2565</v>
      </c>
      <c r="E1965" s="198" t="s">
        <v>309</v>
      </c>
      <c r="F1965" s="281">
        <v>1</v>
      </c>
      <c r="G1965" s="229"/>
      <c r="H1965" s="230"/>
    </row>
    <row r="1966" spans="2:8">
      <c r="B1966" s="129" t="s">
        <v>2570</v>
      </c>
      <c r="C1966" s="333"/>
      <c r="D1966" s="340" t="s">
        <v>286</v>
      </c>
      <c r="E1966" s="342"/>
      <c r="F1966" s="287"/>
      <c r="G1966" s="243"/>
      <c r="H1966" s="244"/>
    </row>
    <row r="1967" spans="2:8" ht="25.5">
      <c r="B1967" s="129" t="s">
        <v>2571</v>
      </c>
      <c r="C1967" s="198"/>
      <c r="D1967" s="332" t="s">
        <v>2565</v>
      </c>
      <c r="E1967" s="198" t="s">
        <v>309</v>
      </c>
      <c r="F1967" s="281">
        <v>1</v>
      </c>
      <c r="G1967" s="229"/>
      <c r="H1967" s="230"/>
    </row>
    <row r="1968" spans="2:8" ht="15">
      <c r="B1968" s="186" t="s">
        <v>2572</v>
      </c>
      <c r="C1968" s="312"/>
      <c r="D1968" s="313" t="s">
        <v>236</v>
      </c>
      <c r="E1968" s="314"/>
      <c r="F1968" s="283"/>
      <c r="G1968" s="233"/>
      <c r="H1968" s="234"/>
    </row>
    <row r="1969" spans="2:8">
      <c r="B1969" s="129" t="s">
        <v>2573</v>
      </c>
      <c r="C1969" s="198"/>
      <c r="D1969" s="332" t="s">
        <v>679</v>
      </c>
      <c r="E1969" s="198"/>
      <c r="F1969" s="281"/>
      <c r="G1969" s="229"/>
      <c r="H1969" s="230"/>
    </row>
    <row r="1970" spans="2:8" ht="25.5">
      <c r="B1970" s="129" t="s">
        <v>2574</v>
      </c>
      <c r="C1970" s="198"/>
      <c r="D1970" s="332" t="s">
        <v>2527</v>
      </c>
      <c r="E1970" s="198" t="s">
        <v>309</v>
      </c>
      <c r="F1970" s="281">
        <v>1</v>
      </c>
      <c r="G1970" s="229"/>
      <c r="H1970" s="230"/>
    </row>
    <row r="1971" spans="2:8" ht="25.5">
      <c r="B1971" s="129" t="s">
        <v>2575</v>
      </c>
      <c r="C1971" s="198"/>
      <c r="D1971" s="332" t="s">
        <v>2529</v>
      </c>
      <c r="E1971" s="198" t="s">
        <v>309</v>
      </c>
      <c r="F1971" s="281">
        <v>1</v>
      </c>
      <c r="G1971" s="229"/>
      <c r="H1971" s="230"/>
    </row>
    <row r="1972" spans="2:8" ht="25.5">
      <c r="B1972" s="129" t="s">
        <v>2576</v>
      </c>
      <c r="C1972" s="198"/>
      <c r="D1972" s="332" t="s">
        <v>2577</v>
      </c>
      <c r="E1972" s="198" t="s">
        <v>309</v>
      </c>
      <c r="F1972" s="281">
        <v>1</v>
      </c>
      <c r="G1972" s="229"/>
      <c r="H1972" s="230"/>
    </row>
    <row r="1973" spans="2:8" ht="25.5">
      <c r="B1973" s="129" t="s">
        <v>2578</v>
      </c>
      <c r="C1973" s="198"/>
      <c r="D1973" s="332" t="s">
        <v>2579</v>
      </c>
      <c r="E1973" s="198" t="s">
        <v>309</v>
      </c>
      <c r="F1973" s="281">
        <v>1</v>
      </c>
      <c r="G1973" s="229"/>
      <c r="H1973" s="230"/>
    </row>
    <row r="1974" spans="2:8" ht="25.5">
      <c r="B1974" s="129" t="s">
        <v>2580</v>
      </c>
      <c r="C1974" s="198"/>
      <c r="D1974" s="332" t="s">
        <v>2531</v>
      </c>
      <c r="E1974" s="198" t="s">
        <v>309</v>
      </c>
      <c r="F1974" s="281">
        <v>1</v>
      </c>
      <c r="G1974" s="229"/>
      <c r="H1974" s="230"/>
    </row>
    <row r="1975" spans="2:8" ht="25.5">
      <c r="B1975" s="129" t="s">
        <v>2581</v>
      </c>
      <c r="C1975" s="198"/>
      <c r="D1975" s="332" t="s">
        <v>2548</v>
      </c>
      <c r="E1975" s="198" t="s">
        <v>309</v>
      </c>
      <c r="F1975" s="281">
        <v>1</v>
      </c>
      <c r="G1975" s="229"/>
      <c r="H1975" s="230"/>
    </row>
    <row r="1976" spans="2:8" ht="25.5">
      <c r="B1976" s="129" t="s">
        <v>2582</v>
      </c>
      <c r="C1976" s="198"/>
      <c r="D1976" s="332" t="s">
        <v>2550</v>
      </c>
      <c r="E1976" s="198" t="s">
        <v>309</v>
      </c>
      <c r="F1976" s="281">
        <v>1</v>
      </c>
      <c r="G1976" s="229"/>
      <c r="H1976" s="230"/>
    </row>
    <row r="1977" spans="2:8" ht="25.5">
      <c r="B1977" s="129" t="s">
        <v>2583</v>
      </c>
      <c r="C1977" s="198"/>
      <c r="D1977" s="332" t="s">
        <v>2552</v>
      </c>
      <c r="E1977" s="198" t="s">
        <v>309</v>
      </c>
      <c r="F1977" s="281">
        <v>1</v>
      </c>
      <c r="G1977" s="229"/>
      <c r="H1977" s="230"/>
    </row>
    <row r="1978" spans="2:8" ht="25.5">
      <c r="B1978" s="129" t="s">
        <v>2584</v>
      </c>
      <c r="C1978" s="198"/>
      <c r="D1978" s="332" t="s">
        <v>2585</v>
      </c>
      <c r="E1978" s="198" t="s">
        <v>309</v>
      </c>
      <c r="F1978" s="281">
        <v>1</v>
      </c>
      <c r="G1978" s="229"/>
      <c r="H1978" s="230"/>
    </row>
    <row r="1979" spans="2:8">
      <c r="B1979" s="129" t="s">
        <v>2586</v>
      </c>
      <c r="C1979" s="198"/>
      <c r="D1979" s="332" t="s">
        <v>264</v>
      </c>
      <c r="E1979" s="198"/>
      <c r="F1979" s="287"/>
      <c r="G1979" s="229"/>
      <c r="H1979" s="230"/>
    </row>
    <row r="1980" spans="2:8" ht="25.5">
      <c r="B1980" s="129" t="s">
        <v>2587</v>
      </c>
      <c r="C1980" s="198"/>
      <c r="D1980" s="332" t="s">
        <v>2527</v>
      </c>
      <c r="E1980" s="198" t="s">
        <v>309</v>
      </c>
      <c r="F1980" s="281">
        <v>1</v>
      </c>
      <c r="G1980" s="229"/>
      <c r="H1980" s="230"/>
    </row>
    <row r="1981" spans="2:8" ht="25.5">
      <c r="B1981" s="129" t="s">
        <v>2588</v>
      </c>
      <c r="C1981" s="198"/>
      <c r="D1981" s="332" t="s">
        <v>2529</v>
      </c>
      <c r="E1981" s="198" t="s">
        <v>309</v>
      </c>
      <c r="F1981" s="281">
        <v>1</v>
      </c>
      <c r="G1981" s="229"/>
      <c r="H1981" s="230"/>
    </row>
    <row r="1982" spans="2:8" ht="25.5">
      <c r="B1982" s="129" t="s">
        <v>2589</v>
      </c>
      <c r="C1982" s="198"/>
      <c r="D1982" s="332" t="s">
        <v>2577</v>
      </c>
      <c r="E1982" s="198" t="s">
        <v>309</v>
      </c>
      <c r="F1982" s="281">
        <v>1</v>
      </c>
      <c r="G1982" s="229"/>
      <c r="H1982" s="230"/>
    </row>
    <row r="1983" spans="2:8" ht="25.5">
      <c r="B1983" s="129" t="s">
        <v>2590</v>
      </c>
      <c r="C1983" s="198"/>
      <c r="D1983" s="332" t="s">
        <v>2579</v>
      </c>
      <c r="E1983" s="198" t="s">
        <v>309</v>
      </c>
      <c r="F1983" s="281">
        <v>1</v>
      </c>
      <c r="G1983" s="229"/>
      <c r="H1983" s="230"/>
    </row>
    <row r="1984" spans="2:8" ht="25.5">
      <c r="B1984" s="129" t="s">
        <v>2591</v>
      </c>
      <c r="C1984" s="198"/>
      <c r="D1984" s="332" t="s">
        <v>2531</v>
      </c>
      <c r="E1984" s="198" t="s">
        <v>309</v>
      </c>
      <c r="F1984" s="281">
        <v>1</v>
      </c>
      <c r="G1984" s="229"/>
      <c r="H1984" s="230"/>
    </row>
    <row r="1985" spans="2:8" ht="25.5">
      <c r="B1985" s="129" t="s">
        <v>2592</v>
      </c>
      <c r="C1985" s="198"/>
      <c r="D1985" s="332" t="s">
        <v>2548</v>
      </c>
      <c r="E1985" s="198" t="s">
        <v>309</v>
      </c>
      <c r="F1985" s="281">
        <v>1</v>
      </c>
      <c r="G1985" s="229"/>
      <c r="H1985" s="230"/>
    </row>
    <row r="1986" spans="2:8" ht="25.5">
      <c r="B1986" s="129" t="s">
        <v>2593</v>
      </c>
      <c r="C1986" s="198"/>
      <c r="D1986" s="332" t="s">
        <v>2550</v>
      </c>
      <c r="E1986" s="198" t="s">
        <v>309</v>
      </c>
      <c r="F1986" s="281">
        <v>1</v>
      </c>
      <c r="G1986" s="229"/>
      <c r="H1986" s="230"/>
    </row>
    <row r="1987" spans="2:8" ht="25.5">
      <c r="B1987" s="129" t="s">
        <v>2594</v>
      </c>
      <c r="C1987" s="198"/>
      <c r="D1987" s="332" t="s">
        <v>2552</v>
      </c>
      <c r="E1987" s="198" t="s">
        <v>309</v>
      </c>
      <c r="F1987" s="281">
        <v>1</v>
      </c>
      <c r="G1987" s="229"/>
      <c r="H1987" s="230"/>
    </row>
    <row r="1988" spans="2:8" ht="25.5">
      <c r="B1988" s="129" t="s">
        <v>2595</v>
      </c>
      <c r="C1988" s="198"/>
      <c r="D1988" s="332" t="s">
        <v>2554</v>
      </c>
      <c r="E1988" s="198" t="s">
        <v>309</v>
      </c>
      <c r="F1988" s="281">
        <v>1</v>
      </c>
      <c r="G1988" s="229"/>
      <c r="H1988" s="230"/>
    </row>
    <row r="1989" spans="2:8">
      <c r="B1989" s="129" t="s">
        <v>2596</v>
      </c>
      <c r="C1989" s="333"/>
      <c r="D1989" s="340" t="s">
        <v>272</v>
      </c>
      <c r="E1989" s="342"/>
      <c r="F1989" s="287"/>
      <c r="G1989" s="243"/>
      <c r="H1989" s="244"/>
    </row>
    <row r="1990" spans="2:8" ht="25.5">
      <c r="B1990" s="129" t="s">
        <v>2597</v>
      </c>
      <c r="C1990" s="198"/>
      <c r="D1990" s="332" t="s">
        <v>2527</v>
      </c>
      <c r="E1990" s="198" t="s">
        <v>309</v>
      </c>
      <c r="F1990" s="281">
        <v>1</v>
      </c>
      <c r="G1990" s="229"/>
      <c r="H1990" s="230"/>
    </row>
    <row r="1991" spans="2:8" ht="25.5">
      <c r="B1991" s="129" t="s">
        <v>2598</v>
      </c>
      <c r="C1991" s="198"/>
      <c r="D1991" s="332" t="s">
        <v>2529</v>
      </c>
      <c r="E1991" s="198" t="s">
        <v>309</v>
      </c>
      <c r="F1991" s="281">
        <v>1</v>
      </c>
      <c r="G1991" s="229"/>
      <c r="H1991" s="230"/>
    </row>
    <row r="1992" spans="2:8" ht="25.5">
      <c r="B1992" s="129" t="s">
        <v>2599</v>
      </c>
      <c r="C1992" s="198"/>
      <c r="D1992" s="332" t="s">
        <v>2577</v>
      </c>
      <c r="E1992" s="198" t="s">
        <v>309</v>
      </c>
      <c r="F1992" s="281">
        <v>1</v>
      </c>
      <c r="G1992" s="229"/>
      <c r="H1992" s="230"/>
    </row>
    <row r="1993" spans="2:8" ht="25.5">
      <c r="B1993" s="129" t="s">
        <v>2600</v>
      </c>
      <c r="C1993" s="198"/>
      <c r="D1993" s="332" t="s">
        <v>2579</v>
      </c>
      <c r="E1993" s="198" t="s">
        <v>309</v>
      </c>
      <c r="F1993" s="281">
        <v>1</v>
      </c>
      <c r="G1993" s="229"/>
      <c r="H1993" s="230"/>
    </row>
    <row r="1994" spans="2:8" ht="25.5">
      <c r="B1994" s="129" t="s">
        <v>2601</v>
      </c>
      <c r="C1994" s="198"/>
      <c r="D1994" s="332" t="s">
        <v>2531</v>
      </c>
      <c r="E1994" s="198" t="s">
        <v>309</v>
      </c>
      <c r="F1994" s="281">
        <v>1</v>
      </c>
      <c r="G1994" s="229"/>
      <c r="H1994" s="230"/>
    </row>
    <row r="1995" spans="2:8" ht="25.5">
      <c r="B1995" s="129" t="s">
        <v>2602</v>
      </c>
      <c r="C1995" s="198"/>
      <c r="D1995" s="332" t="s">
        <v>2548</v>
      </c>
      <c r="E1995" s="198" t="s">
        <v>309</v>
      </c>
      <c r="F1995" s="281">
        <v>1</v>
      </c>
      <c r="G1995" s="229"/>
      <c r="H1995" s="230"/>
    </row>
    <row r="1996" spans="2:8" ht="25.5">
      <c r="B1996" s="129" t="s">
        <v>2603</v>
      </c>
      <c r="C1996" s="198"/>
      <c r="D1996" s="332" t="s">
        <v>2550</v>
      </c>
      <c r="E1996" s="198" t="s">
        <v>309</v>
      </c>
      <c r="F1996" s="281">
        <v>1</v>
      </c>
      <c r="G1996" s="229"/>
      <c r="H1996" s="230"/>
    </row>
    <row r="1997" spans="2:8" ht="25.5">
      <c r="B1997" s="129" t="s">
        <v>2604</v>
      </c>
      <c r="C1997" s="198"/>
      <c r="D1997" s="332" t="s">
        <v>2552</v>
      </c>
      <c r="E1997" s="198" t="s">
        <v>309</v>
      </c>
      <c r="F1997" s="281">
        <v>1</v>
      </c>
      <c r="G1997" s="229"/>
      <c r="H1997" s="230"/>
    </row>
    <row r="1998" spans="2:8" ht="25.5">
      <c r="B1998" s="129" t="s">
        <v>2605</v>
      </c>
      <c r="C1998" s="198"/>
      <c r="D1998" s="332" t="s">
        <v>2585</v>
      </c>
      <c r="E1998" s="198" t="s">
        <v>309</v>
      </c>
      <c r="F1998" s="281">
        <v>1</v>
      </c>
      <c r="G1998" s="229"/>
      <c r="H1998" s="230"/>
    </row>
    <row r="1999" spans="2:8">
      <c r="B1999" s="129" t="s">
        <v>2606</v>
      </c>
      <c r="C1999" s="333"/>
      <c r="D1999" s="340" t="s">
        <v>279</v>
      </c>
      <c r="E1999" s="342"/>
      <c r="F1999" s="287"/>
      <c r="G1999" s="243"/>
      <c r="H1999" s="244"/>
    </row>
    <row r="2000" spans="2:8" ht="25.5">
      <c r="B2000" s="129" t="s">
        <v>2607</v>
      </c>
      <c r="C2000" s="198"/>
      <c r="D2000" s="332" t="s">
        <v>2527</v>
      </c>
      <c r="E2000" s="198" t="s">
        <v>309</v>
      </c>
      <c r="F2000" s="281">
        <v>1</v>
      </c>
      <c r="G2000" s="229"/>
      <c r="H2000" s="230"/>
    </row>
    <row r="2001" spans="2:8" ht="25.5">
      <c r="B2001" s="129" t="s">
        <v>2608</v>
      </c>
      <c r="C2001" s="198"/>
      <c r="D2001" s="332" t="s">
        <v>2529</v>
      </c>
      <c r="E2001" s="198" t="s">
        <v>309</v>
      </c>
      <c r="F2001" s="281">
        <v>1</v>
      </c>
      <c r="G2001" s="229"/>
      <c r="H2001" s="230"/>
    </row>
    <row r="2002" spans="2:8" ht="25.5">
      <c r="B2002" s="129" t="s">
        <v>2609</v>
      </c>
      <c r="C2002" s="198"/>
      <c r="D2002" s="332" t="s">
        <v>2577</v>
      </c>
      <c r="E2002" s="198" t="s">
        <v>309</v>
      </c>
      <c r="F2002" s="281">
        <v>1</v>
      </c>
      <c r="G2002" s="229"/>
      <c r="H2002" s="230"/>
    </row>
    <row r="2003" spans="2:8" ht="25.5">
      <c r="B2003" s="129" t="s">
        <v>2610</v>
      </c>
      <c r="C2003" s="198"/>
      <c r="D2003" s="332" t="s">
        <v>2579</v>
      </c>
      <c r="E2003" s="198" t="s">
        <v>309</v>
      </c>
      <c r="F2003" s="281">
        <v>1</v>
      </c>
      <c r="G2003" s="229"/>
      <c r="H2003" s="230"/>
    </row>
    <row r="2004" spans="2:8" ht="25.5">
      <c r="B2004" s="129" t="s">
        <v>2611</v>
      </c>
      <c r="C2004" s="198"/>
      <c r="D2004" s="332" t="s">
        <v>2531</v>
      </c>
      <c r="E2004" s="198" t="s">
        <v>309</v>
      </c>
      <c r="F2004" s="281">
        <v>1</v>
      </c>
      <c r="G2004" s="229"/>
      <c r="H2004" s="230"/>
    </row>
    <row r="2005" spans="2:8" ht="25.5">
      <c r="B2005" s="129" t="s">
        <v>2612</v>
      </c>
      <c r="C2005" s="198"/>
      <c r="D2005" s="332" t="s">
        <v>2548</v>
      </c>
      <c r="E2005" s="198" t="s">
        <v>309</v>
      </c>
      <c r="F2005" s="281">
        <v>1</v>
      </c>
      <c r="G2005" s="229"/>
      <c r="H2005" s="230"/>
    </row>
    <row r="2006" spans="2:8" ht="25.5">
      <c r="B2006" s="129" t="s">
        <v>2613</v>
      </c>
      <c r="C2006" s="198"/>
      <c r="D2006" s="332" t="s">
        <v>2550</v>
      </c>
      <c r="E2006" s="198" t="s">
        <v>309</v>
      </c>
      <c r="F2006" s="281">
        <v>1</v>
      </c>
      <c r="G2006" s="229"/>
      <c r="H2006" s="230"/>
    </row>
    <row r="2007" spans="2:8" ht="25.5">
      <c r="B2007" s="129" t="s">
        <v>2614</v>
      </c>
      <c r="C2007" s="198"/>
      <c r="D2007" s="332" t="s">
        <v>2552</v>
      </c>
      <c r="E2007" s="198" t="s">
        <v>309</v>
      </c>
      <c r="F2007" s="281">
        <v>1</v>
      </c>
      <c r="G2007" s="229"/>
      <c r="H2007" s="230"/>
    </row>
    <row r="2008" spans="2:8" ht="25.5">
      <c r="B2008" s="129" t="s">
        <v>2615</v>
      </c>
      <c r="C2008" s="198"/>
      <c r="D2008" s="332" t="s">
        <v>2554</v>
      </c>
      <c r="E2008" s="198" t="s">
        <v>309</v>
      </c>
      <c r="F2008" s="281">
        <v>1</v>
      </c>
      <c r="G2008" s="229"/>
      <c r="H2008" s="230"/>
    </row>
    <row r="2009" spans="2:8">
      <c r="B2009" s="129" t="s">
        <v>2616</v>
      </c>
      <c r="C2009" s="333"/>
      <c r="D2009" s="340" t="s">
        <v>286</v>
      </c>
      <c r="E2009" s="342"/>
      <c r="F2009" s="287"/>
      <c r="G2009" s="243"/>
      <c r="H2009" s="244"/>
    </row>
    <row r="2010" spans="2:8" ht="25.5">
      <c r="B2010" s="129" t="s">
        <v>2617</v>
      </c>
      <c r="C2010" s="198"/>
      <c r="D2010" s="332" t="s">
        <v>2527</v>
      </c>
      <c r="E2010" s="198" t="s">
        <v>309</v>
      </c>
      <c r="F2010" s="281">
        <v>1</v>
      </c>
      <c r="G2010" s="229"/>
      <c r="H2010" s="230"/>
    </row>
    <row r="2011" spans="2:8" ht="25.5">
      <c r="B2011" s="129" t="s">
        <v>2618</v>
      </c>
      <c r="C2011" s="198"/>
      <c r="D2011" s="332" t="s">
        <v>2529</v>
      </c>
      <c r="E2011" s="198" t="s">
        <v>309</v>
      </c>
      <c r="F2011" s="281">
        <v>1</v>
      </c>
      <c r="G2011" s="229"/>
      <c r="H2011" s="230"/>
    </row>
    <row r="2012" spans="2:8" ht="25.5">
      <c r="B2012" s="129" t="s">
        <v>2619</v>
      </c>
      <c r="C2012" s="198"/>
      <c r="D2012" s="332" t="s">
        <v>2577</v>
      </c>
      <c r="E2012" s="198" t="s">
        <v>309</v>
      </c>
      <c r="F2012" s="281">
        <v>1</v>
      </c>
      <c r="G2012" s="229"/>
      <c r="H2012" s="230"/>
    </row>
    <row r="2013" spans="2:8" ht="25.5">
      <c r="B2013" s="129" t="s">
        <v>2620</v>
      </c>
      <c r="C2013" s="198"/>
      <c r="D2013" s="332" t="s">
        <v>2579</v>
      </c>
      <c r="E2013" s="198" t="s">
        <v>309</v>
      </c>
      <c r="F2013" s="281">
        <v>1</v>
      </c>
      <c r="G2013" s="229"/>
      <c r="H2013" s="230"/>
    </row>
    <row r="2014" spans="2:8" ht="25.5">
      <c r="B2014" s="129" t="s">
        <v>2621</v>
      </c>
      <c r="C2014" s="198"/>
      <c r="D2014" s="332" t="s">
        <v>2531</v>
      </c>
      <c r="E2014" s="198" t="s">
        <v>309</v>
      </c>
      <c r="F2014" s="281">
        <v>1</v>
      </c>
      <c r="G2014" s="229"/>
      <c r="H2014" s="230"/>
    </row>
    <row r="2015" spans="2:8" ht="25.5">
      <c r="B2015" s="129" t="s">
        <v>2622</v>
      </c>
      <c r="C2015" s="198"/>
      <c r="D2015" s="332" t="s">
        <v>2548</v>
      </c>
      <c r="E2015" s="198" t="s">
        <v>309</v>
      </c>
      <c r="F2015" s="281">
        <v>1</v>
      </c>
      <c r="G2015" s="229"/>
      <c r="H2015" s="230"/>
    </row>
    <row r="2016" spans="2:8" ht="25.5">
      <c r="B2016" s="129" t="s">
        <v>2623</v>
      </c>
      <c r="C2016" s="198"/>
      <c r="D2016" s="332" t="s">
        <v>2550</v>
      </c>
      <c r="E2016" s="198" t="s">
        <v>309</v>
      </c>
      <c r="F2016" s="281">
        <v>1</v>
      </c>
      <c r="G2016" s="229"/>
      <c r="H2016" s="230"/>
    </row>
    <row r="2017" spans="2:8" ht="25.5">
      <c r="B2017" s="129" t="s">
        <v>2624</v>
      </c>
      <c r="C2017" s="198"/>
      <c r="D2017" s="332" t="s">
        <v>2552</v>
      </c>
      <c r="E2017" s="198" t="s">
        <v>309</v>
      </c>
      <c r="F2017" s="281">
        <v>1</v>
      </c>
      <c r="G2017" s="229"/>
      <c r="H2017" s="230"/>
    </row>
    <row r="2018" spans="2:8" ht="25.5">
      <c r="B2018" s="129" t="s">
        <v>2625</v>
      </c>
      <c r="C2018" s="198"/>
      <c r="D2018" s="332" t="s">
        <v>2585</v>
      </c>
      <c r="E2018" s="198" t="s">
        <v>309</v>
      </c>
      <c r="F2018" s="281">
        <v>1</v>
      </c>
      <c r="G2018" s="229"/>
      <c r="H2018" s="230"/>
    </row>
    <row r="2019" spans="2:8">
      <c r="B2019" s="129" t="s">
        <v>2626</v>
      </c>
      <c r="C2019" s="333"/>
      <c r="D2019" s="340" t="s">
        <v>293</v>
      </c>
      <c r="E2019" s="342"/>
      <c r="F2019" s="287"/>
      <c r="G2019" s="243"/>
      <c r="H2019" s="244"/>
    </row>
    <row r="2020" spans="2:8" ht="25.5">
      <c r="B2020" s="129" t="s">
        <v>2627</v>
      </c>
      <c r="C2020" s="198"/>
      <c r="D2020" s="332" t="s">
        <v>2527</v>
      </c>
      <c r="E2020" s="198" t="s">
        <v>309</v>
      </c>
      <c r="F2020" s="281">
        <v>1</v>
      </c>
      <c r="G2020" s="229"/>
      <c r="H2020" s="230"/>
    </row>
    <row r="2021" spans="2:8" ht="25.5">
      <c r="B2021" s="129" t="s">
        <v>2628</v>
      </c>
      <c r="C2021" s="198"/>
      <c r="D2021" s="332" t="s">
        <v>2529</v>
      </c>
      <c r="E2021" s="198" t="s">
        <v>309</v>
      </c>
      <c r="F2021" s="281">
        <v>1</v>
      </c>
      <c r="G2021" s="229"/>
      <c r="H2021" s="230"/>
    </row>
    <row r="2022" spans="2:8" ht="25.5">
      <c r="B2022" s="129" t="s">
        <v>2629</v>
      </c>
      <c r="C2022" s="198"/>
      <c r="D2022" s="332" t="s">
        <v>2577</v>
      </c>
      <c r="E2022" s="198" t="s">
        <v>309</v>
      </c>
      <c r="F2022" s="281">
        <v>1</v>
      </c>
      <c r="G2022" s="229"/>
      <c r="H2022" s="230"/>
    </row>
    <row r="2023" spans="2:8" ht="25.5">
      <c r="B2023" s="129" t="s">
        <v>2630</v>
      </c>
      <c r="C2023" s="198"/>
      <c r="D2023" s="332" t="s">
        <v>2579</v>
      </c>
      <c r="E2023" s="198" t="s">
        <v>309</v>
      </c>
      <c r="F2023" s="281">
        <v>1</v>
      </c>
      <c r="G2023" s="229"/>
      <c r="H2023" s="230"/>
    </row>
    <row r="2024" spans="2:8" ht="25.5">
      <c r="B2024" s="129" t="s">
        <v>2631</v>
      </c>
      <c r="C2024" s="198"/>
      <c r="D2024" s="332" t="s">
        <v>2531</v>
      </c>
      <c r="E2024" s="198" t="s">
        <v>309</v>
      </c>
      <c r="F2024" s="281">
        <v>1</v>
      </c>
      <c r="G2024" s="229"/>
      <c r="H2024" s="230"/>
    </row>
    <row r="2025" spans="2:8" ht="25.5">
      <c r="B2025" s="129" t="s">
        <v>2632</v>
      </c>
      <c r="C2025" s="198"/>
      <c r="D2025" s="332" t="s">
        <v>2548</v>
      </c>
      <c r="E2025" s="198" t="s">
        <v>309</v>
      </c>
      <c r="F2025" s="281">
        <v>1</v>
      </c>
      <c r="G2025" s="229"/>
      <c r="H2025" s="230"/>
    </row>
    <row r="2026" spans="2:8" ht="25.5">
      <c r="B2026" s="129" t="s">
        <v>2633</v>
      </c>
      <c r="C2026" s="198"/>
      <c r="D2026" s="332" t="s">
        <v>2550</v>
      </c>
      <c r="E2026" s="198" t="s">
        <v>309</v>
      </c>
      <c r="F2026" s="281">
        <v>1</v>
      </c>
      <c r="G2026" s="229"/>
      <c r="H2026" s="230"/>
    </row>
    <row r="2027" spans="2:8" ht="25.5">
      <c r="B2027" s="129" t="s">
        <v>2634</v>
      </c>
      <c r="C2027" s="198"/>
      <c r="D2027" s="332" t="s">
        <v>2552</v>
      </c>
      <c r="E2027" s="198" t="s">
        <v>309</v>
      </c>
      <c r="F2027" s="281">
        <v>1</v>
      </c>
      <c r="G2027" s="229"/>
      <c r="H2027" s="230"/>
    </row>
    <row r="2028" spans="2:8" ht="25.5">
      <c r="B2028" s="129" t="s">
        <v>2635</v>
      </c>
      <c r="C2028" s="198"/>
      <c r="D2028" s="332" t="s">
        <v>2554</v>
      </c>
      <c r="E2028" s="198" t="s">
        <v>309</v>
      </c>
      <c r="F2028" s="281">
        <v>1</v>
      </c>
      <c r="G2028" s="229"/>
      <c r="H2028" s="230"/>
    </row>
    <row r="2029" spans="2:8">
      <c r="B2029" s="129" t="s">
        <v>2636</v>
      </c>
      <c r="C2029" s="198"/>
      <c r="D2029" s="340" t="s">
        <v>719</v>
      </c>
      <c r="E2029" s="342"/>
      <c r="F2029" s="287"/>
      <c r="G2029" s="243"/>
      <c r="H2029" s="244"/>
    </row>
    <row r="2030" spans="2:8" ht="25.5">
      <c r="B2030" s="129" t="s">
        <v>2637</v>
      </c>
      <c r="C2030" s="198"/>
      <c r="D2030" s="332" t="s">
        <v>2527</v>
      </c>
      <c r="E2030" s="198" t="s">
        <v>309</v>
      </c>
      <c r="F2030" s="281">
        <v>1</v>
      </c>
      <c r="G2030" s="229"/>
      <c r="H2030" s="230"/>
    </row>
    <row r="2031" spans="2:8" ht="25.5">
      <c r="B2031" s="129" t="s">
        <v>2638</v>
      </c>
      <c r="C2031" s="198"/>
      <c r="D2031" s="332" t="s">
        <v>2529</v>
      </c>
      <c r="E2031" s="198" t="s">
        <v>309</v>
      </c>
      <c r="F2031" s="281">
        <v>1</v>
      </c>
      <c r="G2031" s="229"/>
      <c r="H2031" s="230"/>
    </row>
    <row r="2032" spans="2:8" ht="25.5">
      <c r="B2032" s="129" t="s">
        <v>2639</v>
      </c>
      <c r="C2032" s="198"/>
      <c r="D2032" s="332" t="s">
        <v>2531</v>
      </c>
      <c r="E2032" s="198" t="s">
        <v>309</v>
      </c>
      <c r="F2032" s="281">
        <v>1</v>
      </c>
      <c r="G2032" s="229"/>
      <c r="H2032" s="230"/>
    </row>
    <row r="2033" spans="2:8" ht="15">
      <c r="B2033" s="186" t="s">
        <v>2640</v>
      </c>
      <c r="C2033" s="312"/>
      <c r="D2033" s="313" t="s">
        <v>112</v>
      </c>
      <c r="E2033" s="314"/>
      <c r="F2033" s="283"/>
      <c r="G2033" s="233"/>
      <c r="H2033" s="234"/>
    </row>
    <row r="2034" spans="2:8">
      <c r="B2034" s="129" t="s">
        <v>2641</v>
      </c>
      <c r="C2034" s="198"/>
      <c r="D2034" s="332" t="s">
        <v>801</v>
      </c>
      <c r="E2034" s="198"/>
      <c r="F2034" s="281"/>
      <c r="G2034" s="229"/>
      <c r="H2034" s="230"/>
    </row>
    <row r="2035" spans="2:8" ht="25.5">
      <c r="B2035" s="129" t="s">
        <v>2642</v>
      </c>
      <c r="C2035" s="198"/>
      <c r="D2035" s="332" t="s">
        <v>2643</v>
      </c>
      <c r="E2035" s="198" t="s">
        <v>309</v>
      </c>
      <c r="F2035" s="281">
        <v>1</v>
      </c>
      <c r="G2035" s="229"/>
      <c r="H2035" s="230"/>
    </row>
    <row r="2036" spans="2:8" ht="25.5">
      <c r="B2036" s="129" t="s">
        <v>2644</v>
      </c>
      <c r="C2036" s="198"/>
      <c r="D2036" s="332" t="s">
        <v>2645</v>
      </c>
      <c r="E2036" s="198" t="s">
        <v>309</v>
      </c>
      <c r="F2036" s="281">
        <v>1</v>
      </c>
      <c r="G2036" s="229"/>
      <c r="H2036" s="230"/>
    </row>
    <row r="2037" spans="2:8" ht="25.5">
      <c r="B2037" s="129" t="s">
        <v>2646</v>
      </c>
      <c r="C2037" s="198"/>
      <c r="D2037" s="332" t="s">
        <v>2550</v>
      </c>
      <c r="E2037" s="198" t="s">
        <v>309</v>
      </c>
      <c r="F2037" s="281">
        <v>1</v>
      </c>
      <c r="G2037" s="229"/>
      <c r="H2037" s="230"/>
    </row>
    <row r="2038" spans="2:8" ht="25.5">
      <c r="B2038" s="129" t="s">
        <v>2647</v>
      </c>
      <c r="C2038" s="198"/>
      <c r="D2038" s="332" t="s">
        <v>2552</v>
      </c>
      <c r="E2038" s="198" t="s">
        <v>309</v>
      </c>
      <c r="F2038" s="281">
        <v>1</v>
      </c>
      <c r="G2038" s="229"/>
      <c r="H2038" s="230"/>
    </row>
    <row r="2039" spans="2:8" ht="25.5">
      <c r="B2039" s="129" t="s">
        <v>2648</v>
      </c>
      <c r="C2039" s="198"/>
      <c r="D2039" s="332" t="s">
        <v>2585</v>
      </c>
      <c r="E2039" s="198" t="s">
        <v>309</v>
      </c>
      <c r="F2039" s="281">
        <v>1</v>
      </c>
      <c r="G2039" s="229"/>
      <c r="H2039" s="230"/>
    </row>
    <row r="2040" spans="2:8">
      <c r="B2040" s="129" t="s">
        <v>2649</v>
      </c>
      <c r="C2040" s="198"/>
      <c r="D2040" s="332" t="s">
        <v>398</v>
      </c>
      <c r="E2040" s="198"/>
      <c r="F2040" s="281"/>
      <c r="G2040" s="229"/>
      <c r="H2040" s="230"/>
    </row>
    <row r="2041" spans="2:8" ht="25.5">
      <c r="B2041" s="129" t="s">
        <v>2650</v>
      </c>
      <c r="C2041" s="198"/>
      <c r="D2041" s="332" t="s">
        <v>2651</v>
      </c>
      <c r="E2041" s="198" t="s">
        <v>309</v>
      </c>
      <c r="F2041" s="281">
        <v>1</v>
      </c>
      <c r="G2041" s="229"/>
      <c r="H2041" s="230"/>
    </row>
    <row r="2042" spans="2:8" ht="25.5">
      <c r="B2042" s="129" t="s">
        <v>2652</v>
      </c>
      <c r="C2042" s="198"/>
      <c r="D2042" s="332" t="s">
        <v>2552</v>
      </c>
      <c r="E2042" s="198" t="s">
        <v>309</v>
      </c>
      <c r="F2042" s="281">
        <v>1</v>
      </c>
      <c r="G2042" s="229"/>
      <c r="H2042" s="230"/>
    </row>
    <row r="2043" spans="2:8" ht="25.5">
      <c r="B2043" s="129" t="s">
        <v>2653</v>
      </c>
      <c r="C2043" s="198"/>
      <c r="D2043" s="332" t="s">
        <v>2585</v>
      </c>
      <c r="E2043" s="198" t="s">
        <v>309</v>
      </c>
      <c r="F2043" s="281">
        <v>1</v>
      </c>
      <c r="G2043" s="229"/>
      <c r="H2043" s="230"/>
    </row>
    <row r="2044" spans="2:8" ht="25.5">
      <c r="B2044" s="129" t="s">
        <v>2654</v>
      </c>
      <c r="C2044" s="198"/>
      <c r="D2044" s="332" t="s">
        <v>2655</v>
      </c>
      <c r="E2044" s="198" t="s">
        <v>309</v>
      </c>
      <c r="F2044" s="281">
        <v>1</v>
      </c>
      <c r="G2044" s="229"/>
      <c r="H2044" s="230"/>
    </row>
    <row r="2045" spans="2:8" ht="25.5">
      <c r="B2045" s="129" t="s">
        <v>2656</v>
      </c>
      <c r="C2045" s="198"/>
      <c r="D2045" s="332" t="s">
        <v>2657</v>
      </c>
      <c r="E2045" s="198" t="s">
        <v>309</v>
      </c>
      <c r="F2045" s="281">
        <v>1</v>
      </c>
      <c r="G2045" s="229"/>
      <c r="H2045" s="230"/>
    </row>
    <row r="2046" spans="2:8" ht="14.25">
      <c r="B2046" s="186" t="s">
        <v>2658</v>
      </c>
      <c r="C2046" s="323"/>
      <c r="D2046" s="324" t="s">
        <v>407</v>
      </c>
      <c r="E2046" s="325"/>
      <c r="F2046" s="286"/>
      <c r="G2046" s="238"/>
      <c r="H2046" s="239"/>
    </row>
    <row r="2047" spans="2:8">
      <c r="B2047" s="129" t="s">
        <v>2659</v>
      </c>
      <c r="C2047" s="198"/>
      <c r="D2047" s="332" t="s">
        <v>2424</v>
      </c>
      <c r="E2047" s="198"/>
      <c r="F2047" s="281"/>
      <c r="G2047" s="229"/>
      <c r="H2047" s="230"/>
    </row>
    <row r="2048" spans="2:8" ht="25.5">
      <c r="B2048" s="129" t="s">
        <v>2660</v>
      </c>
      <c r="C2048" s="198"/>
      <c r="D2048" s="332" t="s">
        <v>2661</v>
      </c>
      <c r="E2048" s="198" t="s">
        <v>309</v>
      </c>
      <c r="F2048" s="281">
        <v>1</v>
      </c>
      <c r="G2048" s="229"/>
      <c r="H2048" s="230"/>
    </row>
    <row r="2049" spans="2:8" ht="25.5">
      <c r="B2049" s="129" t="s">
        <v>2662</v>
      </c>
      <c r="C2049" s="198"/>
      <c r="D2049" s="332" t="s">
        <v>2663</v>
      </c>
      <c r="E2049" s="198" t="s">
        <v>309</v>
      </c>
      <c r="F2049" s="281">
        <v>1</v>
      </c>
      <c r="G2049" s="229"/>
      <c r="H2049" s="230"/>
    </row>
    <row r="2050" spans="2:8" ht="25.5">
      <c r="B2050" s="129" t="s">
        <v>2664</v>
      </c>
      <c r="C2050" s="198"/>
      <c r="D2050" s="332" t="s">
        <v>2665</v>
      </c>
      <c r="E2050" s="198" t="s">
        <v>309</v>
      </c>
      <c r="F2050" s="281">
        <v>1</v>
      </c>
      <c r="G2050" s="229"/>
      <c r="H2050" s="230"/>
    </row>
    <row r="2051" spans="2:8" ht="25.5">
      <c r="B2051" s="129" t="s">
        <v>2666</v>
      </c>
      <c r="C2051" s="198"/>
      <c r="D2051" s="332" t="s">
        <v>2657</v>
      </c>
      <c r="E2051" s="198" t="s">
        <v>309</v>
      </c>
      <c r="F2051" s="281">
        <v>1</v>
      </c>
      <c r="G2051" s="229"/>
      <c r="H2051" s="230"/>
    </row>
    <row r="2052" spans="2:8">
      <c r="B2052" s="129" t="s">
        <v>2667</v>
      </c>
      <c r="C2052" s="198"/>
      <c r="D2052" s="332" t="s">
        <v>121</v>
      </c>
      <c r="E2052" s="198"/>
      <c r="F2052" s="281"/>
      <c r="G2052" s="229"/>
      <c r="H2052" s="230"/>
    </row>
    <row r="2053" spans="2:8" ht="25.5">
      <c r="B2053" s="129" t="s">
        <v>2668</v>
      </c>
      <c r="C2053" s="198"/>
      <c r="D2053" s="332" t="s">
        <v>2669</v>
      </c>
      <c r="E2053" s="198" t="s">
        <v>309</v>
      </c>
      <c r="F2053" s="281">
        <v>1</v>
      </c>
      <c r="G2053" s="229"/>
      <c r="H2053" s="230"/>
    </row>
    <row r="2054" spans="2:8" ht="25.5">
      <c r="B2054" s="129" t="s">
        <v>2670</v>
      </c>
      <c r="C2054" s="198"/>
      <c r="D2054" s="332" t="s">
        <v>2671</v>
      </c>
      <c r="E2054" s="198" t="s">
        <v>309</v>
      </c>
      <c r="F2054" s="281">
        <v>1</v>
      </c>
      <c r="G2054" s="229"/>
      <c r="H2054" s="230"/>
    </row>
    <row r="2055" spans="2:8" ht="15">
      <c r="B2055" s="186" t="s">
        <v>2672</v>
      </c>
      <c r="C2055" s="312"/>
      <c r="D2055" s="313" t="s">
        <v>2438</v>
      </c>
      <c r="E2055" s="314"/>
      <c r="F2055" s="283"/>
      <c r="G2055" s="233"/>
      <c r="H2055" s="234"/>
    </row>
    <row r="2056" spans="2:8">
      <c r="B2056" s="129" t="s">
        <v>2673</v>
      </c>
      <c r="C2056" s="198"/>
      <c r="D2056" s="332" t="s">
        <v>2674</v>
      </c>
      <c r="E2056" s="198"/>
      <c r="F2056" s="281"/>
      <c r="G2056" s="229"/>
      <c r="H2056" s="230"/>
    </row>
    <row r="2057" spans="2:8" ht="38.25">
      <c r="B2057" s="129" t="s">
        <v>2675</v>
      </c>
      <c r="C2057" s="198"/>
      <c r="D2057" s="332" t="s">
        <v>2676</v>
      </c>
      <c r="E2057" s="198" t="s">
        <v>55</v>
      </c>
      <c r="F2057" s="281">
        <v>168</v>
      </c>
      <c r="G2057" s="229"/>
      <c r="H2057" s="230"/>
    </row>
    <row r="2058" spans="2:8" ht="38.25">
      <c r="B2058" s="129" t="s">
        <v>2677</v>
      </c>
      <c r="C2058" s="198"/>
      <c r="D2058" s="332" t="s">
        <v>2678</v>
      </c>
      <c r="E2058" s="198" t="s">
        <v>309</v>
      </c>
      <c r="F2058" s="281">
        <v>1</v>
      </c>
      <c r="G2058" s="229"/>
      <c r="H2058" s="230"/>
    </row>
    <row r="2059" spans="2:8">
      <c r="B2059" s="129" t="s">
        <v>2679</v>
      </c>
      <c r="C2059" s="198" t="s">
        <v>2680</v>
      </c>
      <c r="D2059" s="332" t="s">
        <v>2681</v>
      </c>
      <c r="E2059" s="198"/>
      <c r="F2059" s="281"/>
      <c r="G2059" s="229"/>
      <c r="H2059" s="230"/>
    </row>
    <row r="2060" spans="2:8" ht="38.25">
      <c r="B2060" s="129" t="s">
        <v>2682</v>
      </c>
      <c r="C2060" s="198"/>
      <c r="D2060" s="465" t="s">
        <v>2683</v>
      </c>
      <c r="E2060" s="198" t="s">
        <v>309</v>
      </c>
      <c r="F2060" s="281">
        <v>1</v>
      </c>
      <c r="G2060" s="229"/>
      <c r="H2060" s="230"/>
    </row>
    <row r="2061" spans="2:8" ht="25.5">
      <c r="B2061" s="129" t="s">
        <v>2684</v>
      </c>
      <c r="C2061" s="198"/>
      <c r="D2061" s="465" t="s">
        <v>2685</v>
      </c>
      <c r="E2061" s="198" t="s">
        <v>309</v>
      </c>
      <c r="F2061" s="281">
        <v>1</v>
      </c>
      <c r="G2061" s="229"/>
      <c r="H2061" s="230"/>
    </row>
    <row r="2062" spans="2:8">
      <c r="B2062" s="129" t="s">
        <v>2686</v>
      </c>
      <c r="C2062" s="198"/>
      <c r="D2062" s="465" t="s">
        <v>2687</v>
      </c>
      <c r="E2062" s="198" t="s">
        <v>309</v>
      </c>
      <c r="F2062" s="281">
        <v>1</v>
      </c>
      <c r="G2062" s="229"/>
      <c r="H2062" s="230"/>
    </row>
    <row r="2063" spans="2:8" ht="25.5">
      <c r="B2063" s="129" t="s">
        <v>2688</v>
      </c>
      <c r="C2063" s="198"/>
      <c r="D2063" s="465" t="s">
        <v>2689</v>
      </c>
      <c r="E2063" s="198" t="s">
        <v>99</v>
      </c>
      <c r="F2063" s="281">
        <v>1</v>
      </c>
      <c r="G2063" s="229"/>
      <c r="H2063" s="230"/>
    </row>
    <row r="2064" spans="2:8" ht="25.5">
      <c r="B2064" s="129" t="s">
        <v>2690</v>
      </c>
      <c r="C2064" s="198"/>
      <c r="D2064" s="465" t="s">
        <v>2691</v>
      </c>
      <c r="E2064" s="198" t="s">
        <v>99</v>
      </c>
      <c r="F2064" s="281">
        <v>1</v>
      </c>
      <c r="G2064" s="229"/>
      <c r="H2064" s="230"/>
    </row>
    <row r="2065" spans="2:8">
      <c r="B2065" s="129" t="s">
        <v>2692</v>
      </c>
      <c r="C2065" s="198"/>
      <c r="D2065" s="465" t="s">
        <v>2693</v>
      </c>
      <c r="E2065" s="198" t="s">
        <v>309</v>
      </c>
      <c r="F2065" s="281">
        <v>1</v>
      </c>
      <c r="G2065" s="229"/>
      <c r="H2065" s="230"/>
    </row>
    <row r="2066" spans="2:8">
      <c r="B2066" s="129" t="s">
        <v>2694</v>
      </c>
      <c r="C2066" s="198"/>
      <c r="D2066" s="465" t="s">
        <v>2695</v>
      </c>
      <c r="E2066" s="198" t="s">
        <v>309</v>
      </c>
      <c r="F2066" s="281">
        <v>1</v>
      </c>
      <c r="G2066" s="229"/>
      <c r="H2066" s="230"/>
    </row>
    <row r="2067" spans="2:8">
      <c r="B2067" s="129" t="s">
        <v>2696</v>
      </c>
      <c r="C2067" s="198"/>
      <c r="D2067" s="465" t="s">
        <v>2697</v>
      </c>
      <c r="E2067" s="198" t="s">
        <v>309</v>
      </c>
      <c r="F2067" s="281">
        <v>1</v>
      </c>
      <c r="G2067" s="229"/>
      <c r="H2067" s="230"/>
    </row>
    <row r="2068" spans="2:8">
      <c r="B2068" s="129" t="s">
        <v>2698</v>
      </c>
      <c r="C2068" s="198"/>
      <c r="D2068" s="332" t="s">
        <v>2699</v>
      </c>
      <c r="E2068" s="198"/>
      <c r="F2068" s="281"/>
      <c r="G2068" s="229"/>
      <c r="H2068" s="230"/>
    </row>
    <row r="2069" spans="2:8">
      <c r="B2069" s="129" t="s">
        <v>2700</v>
      </c>
      <c r="C2069" s="198"/>
      <c r="D2069" s="465" t="s">
        <v>2701</v>
      </c>
      <c r="E2069" s="130" t="s">
        <v>99</v>
      </c>
      <c r="F2069" s="471">
        <v>1</v>
      </c>
      <c r="G2069" s="229"/>
      <c r="H2069" s="230"/>
    </row>
    <row r="2070" spans="2:8">
      <c r="B2070" s="129" t="s">
        <v>2702</v>
      </c>
      <c r="C2070" s="198"/>
      <c r="D2070" s="465" t="s">
        <v>2703</v>
      </c>
      <c r="E2070" s="130" t="s">
        <v>309</v>
      </c>
      <c r="F2070" s="471">
        <v>1</v>
      </c>
      <c r="G2070" s="229"/>
      <c r="H2070" s="230"/>
    </row>
    <row r="2071" spans="2:8" ht="13.5" thickBot="1">
      <c r="B2071" s="129" t="s">
        <v>2704</v>
      </c>
      <c r="C2071" s="198"/>
      <c r="D2071" s="465" t="s">
        <v>2705</v>
      </c>
      <c r="E2071" s="130" t="s">
        <v>309</v>
      </c>
      <c r="F2071" s="471">
        <v>1</v>
      </c>
      <c r="G2071" s="229"/>
      <c r="H2071" s="230"/>
    </row>
    <row r="2072" spans="2:8" ht="16.5" thickBot="1">
      <c r="B2072" s="479" t="s">
        <v>2706</v>
      </c>
      <c r="C2072" s="480" t="s">
        <v>2707</v>
      </c>
      <c r="D2072" s="481" t="s">
        <v>2708</v>
      </c>
      <c r="E2072" s="482"/>
      <c r="F2072" s="483"/>
      <c r="G2072" s="493"/>
      <c r="H2072" s="280"/>
    </row>
    <row r="2073" spans="2:8" ht="15">
      <c r="B2073" s="486" t="s">
        <v>2709</v>
      </c>
      <c r="C2073" s="487"/>
      <c r="D2073" s="488" t="s">
        <v>2284</v>
      </c>
      <c r="E2073" s="489"/>
      <c r="F2073" s="490"/>
      <c r="G2073" s="491"/>
      <c r="H2073" s="492"/>
    </row>
    <row r="2074" spans="2:8" ht="25.5">
      <c r="B2074" s="183" t="s">
        <v>2710</v>
      </c>
      <c r="C2074" s="198"/>
      <c r="D2074" s="345" t="s">
        <v>2711</v>
      </c>
      <c r="E2074" s="206" t="s">
        <v>99</v>
      </c>
      <c r="F2074" s="281">
        <v>4</v>
      </c>
      <c r="G2074" s="229"/>
      <c r="H2074" s="230"/>
    </row>
    <row r="2075" spans="2:8" ht="38.25">
      <c r="B2075" s="183" t="s">
        <v>2712</v>
      </c>
      <c r="C2075" s="198"/>
      <c r="D2075" s="345" t="s">
        <v>2713</v>
      </c>
      <c r="E2075" s="206" t="s">
        <v>99</v>
      </c>
      <c r="F2075" s="281">
        <v>2</v>
      </c>
      <c r="G2075" s="229"/>
      <c r="H2075" s="230"/>
    </row>
    <row r="2076" spans="2:8">
      <c r="B2076" s="183" t="s">
        <v>2714</v>
      </c>
      <c r="C2076" s="198"/>
      <c r="D2076" s="345" t="s">
        <v>2715</v>
      </c>
      <c r="E2076" s="206" t="s">
        <v>99</v>
      </c>
      <c r="F2076" s="281">
        <v>1</v>
      </c>
      <c r="G2076" s="229"/>
      <c r="H2076" s="230"/>
    </row>
    <row r="2077" spans="2:8">
      <c r="B2077" s="183" t="s">
        <v>2716</v>
      </c>
      <c r="C2077" s="198"/>
      <c r="D2077" s="332" t="s">
        <v>2717</v>
      </c>
      <c r="E2077" s="206" t="s">
        <v>99</v>
      </c>
      <c r="F2077" s="281">
        <v>2</v>
      </c>
      <c r="G2077" s="229"/>
      <c r="H2077" s="230"/>
    </row>
    <row r="2078" spans="2:8">
      <c r="B2078" s="183" t="s">
        <v>2718</v>
      </c>
      <c r="C2078" s="198"/>
      <c r="D2078" s="345" t="s">
        <v>2719</v>
      </c>
      <c r="E2078" s="206" t="s">
        <v>99</v>
      </c>
      <c r="F2078" s="281">
        <v>2</v>
      </c>
      <c r="G2078" s="229"/>
      <c r="H2078" s="230"/>
    </row>
    <row r="2079" spans="2:8">
      <c r="B2079" s="183" t="s">
        <v>2720</v>
      </c>
      <c r="C2079" s="198"/>
      <c r="D2079" s="332" t="s">
        <v>2721</v>
      </c>
      <c r="E2079" s="206" t="s">
        <v>99</v>
      </c>
      <c r="F2079" s="281">
        <v>1</v>
      </c>
      <c r="G2079" s="229"/>
      <c r="H2079" s="230"/>
    </row>
    <row r="2080" spans="2:8">
      <c r="B2080" s="183" t="s">
        <v>2722</v>
      </c>
      <c r="C2080" s="198"/>
      <c r="D2080" s="345" t="s">
        <v>2723</v>
      </c>
      <c r="E2080" s="206" t="s">
        <v>99</v>
      </c>
      <c r="F2080" s="281">
        <v>4</v>
      </c>
      <c r="G2080" s="229"/>
      <c r="H2080" s="230"/>
    </row>
    <row r="2081" spans="2:8">
      <c r="B2081" s="183" t="s">
        <v>2724</v>
      </c>
      <c r="C2081" s="198"/>
      <c r="D2081" s="345" t="s">
        <v>2725</v>
      </c>
      <c r="E2081" s="206" t="s">
        <v>99</v>
      </c>
      <c r="F2081" s="281">
        <v>2</v>
      </c>
      <c r="G2081" s="229"/>
      <c r="H2081" s="230"/>
    </row>
    <row r="2082" spans="2:8" ht="25.5">
      <c r="B2082" s="183" t="s">
        <v>2726</v>
      </c>
      <c r="C2082" s="198"/>
      <c r="D2082" s="332" t="s">
        <v>2727</v>
      </c>
      <c r="E2082" s="206" t="s">
        <v>99</v>
      </c>
      <c r="F2082" s="281">
        <v>1</v>
      </c>
      <c r="G2082" s="229"/>
      <c r="H2082" s="230"/>
    </row>
    <row r="2083" spans="2:8" ht="15">
      <c r="B2083" s="186" t="s">
        <v>2728</v>
      </c>
      <c r="C2083" s="312"/>
      <c r="D2083" s="313" t="s">
        <v>2729</v>
      </c>
      <c r="E2083" s="314"/>
      <c r="F2083" s="283"/>
      <c r="G2083" s="233"/>
      <c r="H2083" s="234"/>
    </row>
    <row r="2084" spans="2:8" ht="25.5">
      <c r="B2084" s="183" t="s">
        <v>2730</v>
      </c>
      <c r="C2084" s="198"/>
      <c r="D2084" s="345" t="s">
        <v>2711</v>
      </c>
      <c r="E2084" s="206" t="s">
        <v>99</v>
      </c>
      <c r="F2084" s="281">
        <v>12</v>
      </c>
      <c r="G2084" s="229"/>
      <c r="H2084" s="230"/>
    </row>
    <row r="2085" spans="2:8">
      <c r="B2085" s="183" t="s">
        <v>2731</v>
      </c>
      <c r="C2085" s="198"/>
      <c r="D2085" s="345" t="s">
        <v>2732</v>
      </c>
      <c r="E2085" s="206" t="s">
        <v>99</v>
      </c>
      <c r="F2085" s="281">
        <v>2</v>
      </c>
      <c r="G2085" s="229"/>
      <c r="H2085" s="230"/>
    </row>
    <row r="2086" spans="2:8">
      <c r="B2086" s="183" t="s">
        <v>2733</v>
      </c>
      <c r="C2086" s="198"/>
      <c r="D2086" s="332" t="s">
        <v>2734</v>
      </c>
      <c r="E2086" s="206" t="s">
        <v>99</v>
      </c>
      <c r="F2086" s="281">
        <v>2</v>
      </c>
      <c r="G2086" s="229"/>
      <c r="H2086" s="230"/>
    </row>
    <row r="2087" spans="2:8">
      <c r="B2087" s="183" t="s">
        <v>2735</v>
      </c>
      <c r="C2087" s="198"/>
      <c r="D2087" s="332" t="s">
        <v>2736</v>
      </c>
      <c r="E2087" s="206" t="s">
        <v>99</v>
      </c>
      <c r="F2087" s="281">
        <v>2</v>
      </c>
      <c r="G2087" s="229"/>
      <c r="H2087" s="230"/>
    </row>
    <row r="2088" spans="2:8" ht="38.25">
      <c r="B2088" s="183" t="s">
        <v>2737</v>
      </c>
      <c r="C2088" s="198"/>
      <c r="D2088" s="345" t="s">
        <v>2738</v>
      </c>
      <c r="E2088" s="206" t="s">
        <v>99</v>
      </c>
      <c r="F2088" s="281">
        <v>10</v>
      </c>
      <c r="G2088" s="229"/>
      <c r="H2088" s="230"/>
    </row>
    <row r="2089" spans="2:8">
      <c r="B2089" s="183" t="s">
        <v>2739</v>
      </c>
      <c r="C2089" s="198"/>
      <c r="D2089" s="345" t="s">
        <v>2715</v>
      </c>
      <c r="E2089" s="206" t="s">
        <v>99</v>
      </c>
      <c r="F2089" s="281">
        <v>3</v>
      </c>
      <c r="G2089" s="229"/>
      <c r="H2089" s="230"/>
    </row>
    <row r="2090" spans="2:8">
      <c r="B2090" s="183" t="s">
        <v>2740</v>
      </c>
      <c r="C2090" s="198"/>
      <c r="D2090" s="345" t="s">
        <v>2741</v>
      </c>
      <c r="E2090" s="206" t="s">
        <v>99</v>
      </c>
      <c r="F2090" s="281">
        <v>1</v>
      </c>
      <c r="G2090" s="229"/>
      <c r="H2090" s="230"/>
    </row>
    <row r="2091" spans="2:8">
      <c r="B2091" s="183" t="s">
        <v>2742</v>
      </c>
      <c r="C2091" s="198"/>
      <c r="D2091" s="332" t="s">
        <v>2717</v>
      </c>
      <c r="E2091" s="206" t="s">
        <v>99</v>
      </c>
      <c r="F2091" s="281">
        <v>8</v>
      </c>
      <c r="G2091" s="229"/>
      <c r="H2091" s="230"/>
    </row>
    <row r="2092" spans="2:8">
      <c r="B2092" s="183" t="s">
        <v>2743</v>
      </c>
      <c r="C2092" s="198"/>
      <c r="D2092" s="345" t="s">
        <v>2744</v>
      </c>
      <c r="E2092" s="206" t="s">
        <v>99</v>
      </c>
      <c r="F2092" s="281">
        <v>12</v>
      </c>
      <c r="G2092" s="229"/>
      <c r="H2092" s="230"/>
    </row>
    <row r="2093" spans="2:8">
      <c r="B2093" s="183" t="s">
        <v>2745</v>
      </c>
      <c r="C2093" s="198"/>
      <c r="D2093" s="345" t="s">
        <v>2746</v>
      </c>
      <c r="E2093" s="206" t="s">
        <v>99</v>
      </c>
      <c r="F2093" s="281">
        <v>2</v>
      </c>
      <c r="G2093" s="229"/>
      <c r="H2093" s="230"/>
    </row>
    <row r="2094" spans="2:8">
      <c r="B2094" s="183" t="s">
        <v>2747</v>
      </c>
      <c r="C2094" s="198"/>
      <c r="D2094" s="345" t="s">
        <v>2748</v>
      </c>
      <c r="E2094" s="206" t="s">
        <v>99</v>
      </c>
      <c r="F2094" s="281">
        <v>3</v>
      </c>
      <c r="G2094" s="229"/>
      <c r="H2094" s="230"/>
    </row>
    <row r="2095" spans="2:8">
      <c r="B2095" s="183" t="s">
        <v>2749</v>
      </c>
      <c r="C2095" s="198"/>
      <c r="D2095" s="332" t="s">
        <v>2721</v>
      </c>
      <c r="E2095" s="206" t="s">
        <v>99</v>
      </c>
      <c r="F2095" s="281">
        <v>4</v>
      </c>
      <c r="G2095" s="229"/>
      <c r="H2095" s="230"/>
    </row>
    <row r="2096" spans="2:8">
      <c r="B2096" s="183" t="s">
        <v>2750</v>
      </c>
      <c r="C2096" s="198"/>
      <c r="D2096" s="345" t="s">
        <v>2723</v>
      </c>
      <c r="E2096" s="206" t="s">
        <v>99</v>
      </c>
      <c r="F2096" s="281">
        <v>14</v>
      </c>
      <c r="G2096" s="229"/>
      <c r="H2096" s="230"/>
    </row>
    <row r="2097" spans="2:8">
      <c r="B2097" s="183" t="s">
        <v>2751</v>
      </c>
      <c r="C2097" s="198"/>
      <c r="D2097" s="332" t="s">
        <v>2752</v>
      </c>
      <c r="E2097" s="206" t="s">
        <v>99</v>
      </c>
      <c r="F2097" s="281">
        <v>2</v>
      </c>
      <c r="G2097" s="229"/>
      <c r="H2097" s="230"/>
    </row>
    <row r="2098" spans="2:8">
      <c r="B2098" s="183" t="s">
        <v>2753</v>
      </c>
      <c r="C2098" s="198"/>
      <c r="D2098" s="345" t="s">
        <v>2725</v>
      </c>
      <c r="E2098" s="206" t="s">
        <v>99</v>
      </c>
      <c r="F2098" s="281">
        <v>4</v>
      </c>
      <c r="G2098" s="229"/>
      <c r="H2098" s="230"/>
    </row>
    <row r="2099" spans="2:8" ht="25.5">
      <c r="B2099" s="183" t="s">
        <v>2754</v>
      </c>
      <c r="C2099" s="198"/>
      <c r="D2099" s="345" t="s">
        <v>2755</v>
      </c>
      <c r="E2099" s="206" t="s">
        <v>99</v>
      </c>
      <c r="F2099" s="281">
        <v>4</v>
      </c>
      <c r="G2099" s="229"/>
      <c r="H2099" s="230"/>
    </row>
    <row r="2100" spans="2:8">
      <c r="B2100" s="183" t="s">
        <v>2756</v>
      </c>
      <c r="C2100" s="198"/>
      <c r="D2100" s="345" t="s">
        <v>2757</v>
      </c>
      <c r="E2100" s="206" t="s">
        <v>99</v>
      </c>
      <c r="F2100" s="281">
        <v>3</v>
      </c>
      <c r="G2100" s="229"/>
      <c r="H2100" s="230"/>
    </row>
    <row r="2101" spans="2:8" ht="15">
      <c r="B2101" s="186" t="s">
        <v>2758</v>
      </c>
      <c r="C2101" s="312"/>
      <c r="D2101" s="313" t="s">
        <v>224</v>
      </c>
      <c r="E2101" s="314"/>
      <c r="F2101" s="283"/>
      <c r="G2101" s="233"/>
      <c r="H2101" s="234"/>
    </row>
    <row r="2102" spans="2:8">
      <c r="B2102" s="183" t="s">
        <v>2296</v>
      </c>
      <c r="C2102" s="198"/>
      <c r="D2102" s="332" t="s">
        <v>679</v>
      </c>
      <c r="E2102" s="198"/>
      <c r="F2102" s="281"/>
      <c r="G2102" s="229"/>
      <c r="H2102" s="235"/>
    </row>
    <row r="2103" spans="2:8">
      <c r="B2103" s="183" t="s">
        <v>2297</v>
      </c>
      <c r="C2103" s="198"/>
      <c r="D2103" s="345" t="s">
        <v>2759</v>
      </c>
      <c r="E2103" s="206" t="s">
        <v>99</v>
      </c>
      <c r="F2103" s="281">
        <v>1</v>
      </c>
      <c r="G2103" s="229"/>
      <c r="H2103" s="230"/>
    </row>
    <row r="2104" spans="2:8">
      <c r="B2104" s="183" t="s">
        <v>2299</v>
      </c>
      <c r="C2104" s="198"/>
      <c r="D2104" s="332" t="s">
        <v>2736</v>
      </c>
      <c r="E2104" s="206" t="s">
        <v>99</v>
      </c>
      <c r="F2104" s="281">
        <v>1</v>
      </c>
      <c r="G2104" s="229"/>
      <c r="H2104" s="230"/>
    </row>
    <row r="2105" spans="2:8">
      <c r="B2105" s="183" t="s">
        <v>2301</v>
      </c>
      <c r="C2105" s="198"/>
      <c r="D2105" s="345" t="s">
        <v>2746</v>
      </c>
      <c r="E2105" s="206" t="s">
        <v>99</v>
      </c>
      <c r="F2105" s="281">
        <v>1</v>
      </c>
      <c r="G2105" s="229"/>
      <c r="H2105" s="230"/>
    </row>
    <row r="2106" spans="2:8">
      <c r="B2106" s="183" t="s">
        <v>2303</v>
      </c>
      <c r="C2106" s="198"/>
      <c r="D2106" s="345" t="s">
        <v>2760</v>
      </c>
      <c r="E2106" s="206" t="s">
        <v>99</v>
      </c>
      <c r="F2106" s="281">
        <v>1</v>
      </c>
      <c r="G2106" s="229"/>
      <c r="H2106" s="230"/>
    </row>
    <row r="2107" spans="2:8">
      <c r="B2107" s="183" t="s">
        <v>2761</v>
      </c>
      <c r="C2107" s="198"/>
      <c r="D2107" s="332" t="s">
        <v>2721</v>
      </c>
      <c r="E2107" s="206" t="s">
        <v>99</v>
      </c>
      <c r="F2107" s="281">
        <v>1</v>
      </c>
      <c r="G2107" s="229"/>
      <c r="H2107" s="230"/>
    </row>
    <row r="2108" spans="2:8">
      <c r="B2108" s="129" t="s">
        <v>2762</v>
      </c>
      <c r="C2108" s="333"/>
      <c r="D2108" s="334" t="s">
        <v>264</v>
      </c>
      <c r="E2108" s="331"/>
      <c r="F2108" s="291"/>
      <c r="G2108" s="243"/>
      <c r="H2108" s="242"/>
    </row>
    <row r="2109" spans="2:8">
      <c r="B2109" s="129" t="s">
        <v>2763</v>
      </c>
      <c r="C2109" s="333"/>
      <c r="D2109" s="334" t="s">
        <v>272</v>
      </c>
      <c r="E2109" s="331"/>
      <c r="F2109" s="291"/>
      <c r="G2109" s="243"/>
      <c r="H2109" s="242"/>
    </row>
    <row r="2110" spans="2:8">
      <c r="B2110" s="129" t="s">
        <v>2764</v>
      </c>
      <c r="C2110" s="198"/>
      <c r="D2110" s="345" t="s">
        <v>2759</v>
      </c>
      <c r="E2110" s="206" t="s">
        <v>99</v>
      </c>
      <c r="F2110" s="281">
        <v>1</v>
      </c>
      <c r="G2110" s="229"/>
      <c r="H2110" s="230"/>
    </row>
    <row r="2111" spans="2:8">
      <c r="B2111" s="129" t="s">
        <v>2765</v>
      </c>
      <c r="C2111" s="198"/>
      <c r="D2111" s="332" t="s">
        <v>2736</v>
      </c>
      <c r="E2111" s="206" t="s">
        <v>99</v>
      </c>
      <c r="F2111" s="281">
        <v>1</v>
      </c>
      <c r="G2111" s="229"/>
      <c r="H2111" s="230"/>
    </row>
    <row r="2112" spans="2:8">
      <c r="B2112" s="129" t="s">
        <v>2766</v>
      </c>
      <c r="C2112" s="198"/>
      <c r="D2112" s="345" t="s">
        <v>2746</v>
      </c>
      <c r="E2112" s="206" t="s">
        <v>99</v>
      </c>
      <c r="F2112" s="281">
        <v>1</v>
      </c>
      <c r="G2112" s="229"/>
      <c r="H2112" s="230"/>
    </row>
    <row r="2113" spans="2:8">
      <c r="B2113" s="129" t="s">
        <v>2767</v>
      </c>
      <c r="C2113" s="198"/>
      <c r="D2113" s="345" t="s">
        <v>2760</v>
      </c>
      <c r="E2113" s="206" t="s">
        <v>99</v>
      </c>
      <c r="F2113" s="281">
        <v>1</v>
      </c>
      <c r="G2113" s="229"/>
      <c r="H2113" s="230"/>
    </row>
    <row r="2114" spans="2:8">
      <c r="B2114" s="129" t="s">
        <v>2768</v>
      </c>
      <c r="C2114" s="198"/>
      <c r="D2114" s="332" t="s">
        <v>2721</v>
      </c>
      <c r="E2114" s="206" t="s">
        <v>99</v>
      </c>
      <c r="F2114" s="281">
        <v>1</v>
      </c>
      <c r="G2114" s="229"/>
      <c r="H2114" s="230"/>
    </row>
    <row r="2115" spans="2:8">
      <c r="B2115" s="129" t="s">
        <v>2769</v>
      </c>
      <c r="C2115" s="333"/>
      <c r="D2115" s="334" t="s">
        <v>279</v>
      </c>
      <c r="E2115" s="331"/>
      <c r="F2115" s="291"/>
      <c r="G2115" s="243"/>
      <c r="H2115" s="242"/>
    </row>
    <row r="2116" spans="2:8">
      <c r="B2116" s="129" t="s">
        <v>2770</v>
      </c>
      <c r="C2116" s="198"/>
      <c r="D2116" s="345" t="s">
        <v>2759</v>
      </c>
      <c r="E2116" s="206" t="s">
        <v>99</v>
      </c>
      <c r="F2116" s="281">
        <v>1</v>
      </c>
      <c r="G2116" s="229"/>
      <c r="H2116" s="230"/>
    </row>
    <row r="2117" spans="2:8">
      <c r="B2117" s="129" t="s">
        <v>2771</v>
      </c>
      <c r="C2117" s="198"/>
      <c r="D2117" s="332" t="s">
        <v>2736</v>
      </c>
      <c r="E2117" s="206" t="s">
        <v>99</v>
      </c>
      <c r="F2117" s="281">
        <v>1</v>
      </c>
      <c r="G2117" s="229"/>
      <c r="H2117" s="230"/>
    </row>
    <row r="2118" spans="2:8">
      <c r="B2118" s="129" t="s">
        <v>2772</v>
      </c>
      <c r="C2118" s="198"/>
      <c r="D2118" s="345" t="s">
        <v>2746</v>
      </c>
      <c r="E2118" s="206" t="s">
        <v>99</v>
      </c>
      <c r="F2118" s="281">
        <v>1</v>
      </c>
      <c r="G2118" s="229"/>
      <c r="H2118" s="230"/>
    </row>
    <row r="2119" spans="2:8">
      <c r="B2119" s="129" t="s">
        <v>2773</v>
      </c>
      <c r="C2119" s="198"/>
      <c r="D2119" s="345" t="s">
        <v>2760</v>
      </c>
      <c r="E2119" s="206" t="s">
        <v>99</v>
      </c>
      <c r="F2119" s="281">
        <v>1</v>
      </c>
      <c r="G2119" s="229"/>
      <c r="H2119" s="230"/>
    </row>
    <row r="2120" spans="2:8">
      <c r="B2120" s="129" t="s">
        <v>2774</v>
      </c>
      <c r="C2120" s="198"/>
      <c r="D2120" s="332" t="s">
        <v>2721</v>
      </c>
      <c r="E2120" s="206" t="s">
        <v>99</v>
      </c>
      <c r="F2120" s="281">
        <v>1</v>
      </c>
      <c r="G2120" s="229"/>
      <c r="H2120" s="230"/>
    </row>
    <row r="2121" spans="2:8">
      <c r="B2121" s="129" t="s">
        <v>2775</v>
      </c>
      <c r="C2121" s="333"/>
      <c r="D2121" s="334" t="s">
        <v>286</v>
      </c>
      <c r="E2121" s="331"/>
      <c r="F2121" s="291"/>
      <c r="G2121" s="243"/>
      <c r="H2121" s="242"/>
    </row>
    <row r="2122" spans="2:8">
      <c r="B2122" s="129" t="s">
        <v>2776</v>
      </c>
      <c r="C2122" s="198"/>
      <c r="D2122" s="345" t="s">
        <v>2759</v>
      </c>
      <c r="E2122" s="198" t="s">
        <v>99</v>
      </c>
      <c r="F2122" s="287">
        <v>1</v>
      </c>
      <c r="G2122" s="229"/>
      <c r="H2122" s="230"/>
    </row>
    <row r="2123" spans="2:8">
      <c r="B2123" s="129" t="s">
        <v>2777</v>
      </c>
      <c r="C2123" s="198"/>
      <c r="D2123" s="332" t="s">
        <v>2736</v>
      </c>
      <c r="E2123" s="198" t="s">
        <v>99</v>
      </c>
      <c r="F2123" s="281">
        <v>1</v>
      </c>
      <c r="G2123" s="229"/>
      <c r="H2123" s="230"/>
    </row>
    <row r="2124" spans="2:8">
      <c r="B2124" s="129" t="s">
        <v>2778</v>
      </c>
      <c r="C2124" s="198"/>
      <c r="D2124" s="345" t="s">
        <v>2746</v>
      </c>
      <c r="E2124" s="198" t="s">
        <v>99</v>
      </c>
      <c r="F2124" s="281">
        <v>1</v>
      </c>
      <c r="G2124" s="229"/>
      <c r="H2124" s="230"/>
    </row>
    <row r="2125" spans="2:8">
      <c r="B2125" s="129" t="s">
        <v>2779</v>
      </c>
      <c r="C2125" s="198"/>
      <c r="D2125" s="345" t="s">
        <v>2760</v>
      </c>
      <c r="E2125" s="198" t="s">
        <v>99</v>
      </c>
      <c r="F2125" s="281">
        <v>1</v>
      </c>
      <c r="G2125" s="229"/>
      <c r="H2125" s="230"/>
    </row>
    <row r="2126" spans="2:8">
      <c r="B2126" s="129" t="s">
        <v>2780</v>
      </c>
      <c r="C2126" s="198"/>
      <c r="D2126" s="332" t="s">
        <v>2721</v>
      </c>
      <c r="E2126" s="198" t="s">
        <v>99</v>
      </c>
      <c r="F2126" s="281">
        <v>1</v>
      </c>
      <c r="G2126" s="229"/>
      <c r="H2126" s="230"/>
    </row>
    <row r="2127" spans="2:8">
      <c r="B2127" s="129" t="s">
        <v>2781</v>
      </c>
      <c r="C2127" s="333"/>
      <c r="D2127" s="334" t="s">
        <v>293</v>
      </c>
      <c r="E2127" s="331"/>
      <c r="F2127" s="291"/>
      <c r="G2127" s="243"/>
      <c r="H2127" s="242"/>
    </row>
    <row r="2128" spans="2:8" ht="25.5">
      <c r="B2128" s="129" t="s">
        <v>2782</v>
      </c>
      <c r="C2128" s="198"/>
      <c r="D2128" s="345" t="s">
        <v>2783</v>
      </c>
      <c r="E2128" s="198" t="s">
        <v>99</v>
      </c>
      <c r="F2128" s="281">
        <v>1</v>
      </c>
      <c r="G2128" s="229"/>
      <c r="H2128" s="230"/>
    </row>
    <row r="2129" spans="2:8" ht="38.25">
      <c r="B2129" s="129" t="s">
        <v>2784</v>
      </c>
      <c r="C2129" s="198"/>
      <c r="D2129" s="345" t="s">
        <v>2738</v>
      </c>
      <c r="E2129" s="198" t="s">
        <v>99</v>
      </c>
      <c r="F2129" s="281">
        <v>1</v>
      </c>
      <c r="G2129" s="229"/>
      <c r="H2129" s="230"/>
    </row>
    <row r="2130" spans="2:8">
      <c r="B2130" s="129" t="s">
        <v>2785</v>
      </c>
      <c r="C2130" s="198"/>
      <c r="D2130" s="332" t="s">
        <v>2717</v>
      </c>
      <c r="E2130" s="198" t="s">
        <v>99</v>
      </c>
      <c r="F2130" s="281">
        <v>1</v>
      </c>
      <c r="G2130" s="229"/>
      <c r="H2130" s="230"/>
    </row>
    <row r="2131" spans="2:8">
      <c r="B2131" s="129" t="s">
        <v>2786</v>
      </c>
      <c r="C2131" s="198"/>
      <c r="D2131" s="345" t="s">
        <v>2744</v>
      </c>
      <c r="E2131" s="198" t="s">
        <v>99</v>
      </c>
      <c r="F2131" s="281">
        <v>1</v>
      </c>
      <c r="G2131" s="229"/>
      <c r="H2131" s="230"/>
    </row>
    <row r="2132" spans="2:8">
      <c r="B2132" s="129" t="s">
        <v>2787</v>
      </c>
      <c r="C2132" s="198"/>
      <c r="D2132" s="332" t="s">
        <v>2721</v>
      </c>
      <c r="E2132" s="198" t="s">
        <v>99</v>
      </c>
      <c r="F2132" s="281">
        <v>1</v>
      </c>
      <c r="G2132" s="229"/>
      <c r="H2132" s="230"/>
    </row>
    <row r="2133" spans="2:8">
      <c r="B2133" s="129" t="s">
        <v>2788</v>
      </c>
      <c r="C2133" s="198"/>
      <c r="D2133" s="345" t="s">
        <v>2723</v>
      </c>
      <c r="E2133" s="198" t="s">
        <v>99</v>
      </c>
      <c r="F2133" s="281">
        <v>2</v>
      </c>
      <c r="G2133" s="229"/>
      <c r="H2133" s="230"/>
    </row>
    <row r="2134" spans="2:8">
      <c r="B2134" s="129" t="s">
        <v>2789</v>
      </c>
      <c r="C2134" s="198"/>
      <c r="D2134" s="332" t="s">
        <v>2790</v>
      </c>
      <c r="E2134" s="198" t="s">
        <v>99</v>
      </c>
      <c r="F2134" s="281">
        <v>1</v>
      </c>
      <c r="G2134" s="229"/>
      <c r="H2134" s="230"/>
    </row>
    <row r="2135" spans="2:8" ht="15">
      <c r="B2135" s="186" t="s">
        <v>2791</v>
      </c>
      <c r="C2135" s="312"/>
      <c r="D2135" s="313" t="s">
        <v>236</v>
      </c>
      <c r="E2135" s="314"/>
      <c r="F2135" s="283"/>
      <c r="G2135" s="233"/>
      <c r="H2135" s="234"/>
    </row>
    <row r="2136" spans="2:8">
      <c r="B2136" s="183" t="s">
        <v>2792</v>
      </c>
      <c r="C2136" s="198"/>
      <c r="D2136" s="332" t="s">
        <v>679</v>
      </c>
      <c r="E2136" s="198"/>
      <c r="F2136" s="281"/>
      <c r="G2136" s="229"/>
      <c r="H2136" s="235"/>
    </row>
    <row r="2137" spans="2:8" ht="25.5">
      <c r="B2137" s="183" t="s">
        <v>2793</v>
      </c>
      <c r="C2137" s="198"/>
      <c r="D2137" s="345" t="s">
        <v>2711</v>
      </c>
      <c r="E2137" s="206" t="s">
        <v>99</v>
      </c>
      <c r="F2137" s="281">
        <v>10</v>
      </c>
      <c r="G2137" s="229"/>
      <c r="H2137" s="230"/>
    </row>
    <row r="2138" spans="2:8" ht="25.5">
      <c r="B2138" s="183" t="s">
        <v>2794</v>
      </c>
      <c r="C2138" s="198"/>
      <c r="D2138" s="345" t="s">
        <v>2783</v>
      </c>
      <c r="E2138" s="206" t="s">
        <v>99</v>
      </c>
      <c r="F2138" s="281">
        <v>4</v>
      </c>
      <c r="G2138" s="229"/>
      <c r="H2138" s="230"/>
    </row>
    <row r="2139" spans="2:8" ht="25.5">
      <c r="B2139" s="183" t="s">
        <v>2795</v>
      </c>
      <c r="C2139" s="198"/>
      <c r="D2139" s="345" t="s">
        <v>2796</v>
      </c>
      <c r="E2139" s="206" t="s">
        <v>99</v>
      </c>
      <c r="F2139" s="281">
        <v>1</v>
      </c>
      <c r="G2139" s="229"/>
      <c r="H2139" s="230"/>
    </row>
    <row r="2140" spans="2:8" ht="25.5">
      <c r="B2140" s="183" t="s">
        <v>2797</v>
      </c>
      <c r="C2140" s="198"/>
      <c r="D2140" s="332" t="s">
        <v>2798</v>
      </c>
      <c r="E2140" s="206" t="s">
        <v>99</v>
      </c>
      <c r="F2140" s="281">
        <v>1</v>
      </c>
      <c r="G2140" s="229"/>
      <c r="H2140" s="230"/>
    </row>
    <row r="2141" spans="2:8" ht="38.25">
      <c r="B2141" s="183" t="s">
        <v>2799</v>
      </c>
      <c r="C2141" s="198"/>
      <c r="D2141" s="345" t="s">
        <v>2738</v>
      </c>
      <c r="E2141" s="206" t="s">
        <v>99</v>
      </c>
      <c r="F2141" s="281">
        <v>15</v>
      </c>
      <c r="G2141" s="229"/>
      <c r="H2141" s="230"/>
    </row>
    <row r="2142" spans="2:8">
      <c r="B2142" s="183" t="s">
        <v>2800</v>
      </c>
      <c r="C2142" s="198"/>
      <c r="D2142" s="345" t="s">
        <v>2715</v>
      </c>
      <c r="E2142" s="206" t="s">
        <v>99</v>
      </c>
      <c r="F2142" s="281">
        <v>3</v>
      </c>
      <c r="G2142" s="229"/>
      <c r="H2142" s="230"/>
    </row>
    <row r="2143" spans="2:8">
      <c r="B2143" s="183" t="s">
        <v>2801</v>
      </c>
      <c r="C2143" s="198"/>
      <c r="D2143" s="345" t="s">
        <v>2741</v>
      </c>
      <c r="E2143" s="206" t="s">
        <v>99</v>
      </c>
      <c r="F2143" s="281">
        <v>1</v>
      </c>
      <c r="G2143" s="229"/>
      <c r="H2143" s="230"/>
    </row>
    <row r="2144" spans="2:8">
      <c r="B2144" s="183" t="s">
        <v>2802</v>
      </c>
      <c r="C2144" s="198"/>
      <c r="D2144" s="332" t="s">
        <v>2717</v>
      </c>
      <c r="E2144" s="206" t="s">
        <v>99</v>
      </c>
      <c r="F2144" s="281">
        <v>7</v>
      </c>
      <c r="G2144" s="229"/>
      <c r="H2144" s="230"/>
    </row>
    <row r="2145" spans="2:8">
      <c r="B2145" s="183" t="s">
        <v>2803</v>
      </c>
      <c r="C2145" s="198"/>
      <c r="D2145" s="345" t="s">
        <v>2744</v>
      </c>
      <c r="E2145" s="206" t="s">
        <v>99</v>
      </c>
      <c r="F2145" s="281">
        <v>15</v>
      </c>
      <c r="G2145" s="229"/>
      <c r="H2145" s="230"/>
    </row>
    <row r="2146" spans="2:8">
      <c r="B2146" s="183" t="s">
        <v>2804</v>
      </c>
      <c r="C2146" s="198"/>
      <c r="D2146" s="332" t="s">
        <v>2721</v>
      </c>
      <c r="E2146" s="206" t="s">
        <v>99</v>
      </c>
      <c r="F2146" s="281">
        <v>6</v>
      </c>
      <c r="G2146" s="229"/>
      <c r="H2146" s="230"/>
    </row>
    <row r="2147" spans="2:8">
      <c r="B2147" s="183" t="s">
        <v>2805</v>
      </c>
      <c r="C2147" s="198"/>
      <c r="D2147" s="345" t="s">
        <v>2723</v>
      </c>
      <c r="E2147" s="206" t="s">
        <v>99</v>
      </c>
      <c r="F2147" s="281">
        <v>20</v>
      </c>
      <c r="G2147" s="229"/>
      <c r="H2147" s="230"/>
    </row>
    <row r="2148" spans="2:8">
      <c r="B2148" s="183" t="s">
        <v>2806</v>
      </c>
      <c r="C2148" s="198"/>
      <c r="D2148" s="345" t="s">
        <v>2725</v>
      </c>
      <c r="E2148" s="206" t="s">
        <v>99</v>
      </c>
      <c r="F2148" s="281">
        <v>7</v>
      </c>
      <c r="G2148" s="229"/>
      <c r="H2148" s="230"/>
    </row>
    <row r="2149" spans="2:8">
      <c r="B2149" s="183" t="s">
        <v>2807</v>
      </c>
      <c r="C2149" s="198"/>
      <c r="D2149" s="332" t="s">
        <v>2808</v>
      </c>
      <c r="E2149" s="206" t="s">
        <v>309</v>
      </c>
      <c r="F2149" s="281">
        <v>1</v>
      </c>
      <c r="G2149" s="229"/>
      <c r="H2149" s="230"/>
    </row>
    <row r="2150" spans="2:8" ht="25.5">
      <c r="B2150" s="183" t="s">
        <v>2809</v>
      </c>
      <c r="C2150" s="198"/>
      <c r="D2150" s="345" t="s">
        <v>2755</v>
      </c>
      <c r="E2150" s="206" t="s">
        <v>99</v>
      </c>
      <c r="F2150" s="281">
        <v>1</v>
      </c>
      <c r="G2150" s="229"/>
      <c r="H2150" s="230"/>
    </row>
    <row r="2151" spans="2:8">
      <c r="B2151" s="183" t="s">
        <v>2810</v>
      </c>
      <c r="C2151" s="198"/>
      <c r="D2151" s="345" t="s">
        <v>2757</v>
      </c>
      <c r="E2151" s="206" t="s">
        <v>99</v>
      </c>
      <c r="F2151" s="281">
        <v>1</v>
      </c>
      <c r="G2151" s="229"/>
      <c r="H2151" s="230"/>
    </row>
    <row r="2152" spans="2:8">
      <c r="B2152" s="129" t="s">
        <v>2811</v>
      </c>
      <c r="C2152" s="198"/>
      <c r="D2152" s="332" t="s">
        <v>264</v>
      </c>
      <c r="E2152" s="206"/>
      <c r="F2152" s="281"/>
      <c r="G2152" s="229"/>
      <c r="H2152" s="235"/>
    </row>
    <row r="2153" spans="2:8" ht="25.5">
      <c r="B2153" s="129" t="s">
        <v>2812</v>
      </c>
      <c r="C2153" s="198"/>
      <c r="D2153" s="345" t="s">
        <v>2711</v>
      </c>
      <c r="E2153" s="206" t="s">
        <v>99</v>
      </c>
      <c r="F2153" s="281">
        <v>10</v>
      </c>
      <c r="G2153" s="229"/>
      <c r="H2153" s="230"/>
    </row>
    <row r="2154" spans="2:8" ht="25.5">
      <c r="B2154" s="129" t="s">
        <v>2813</v>
      </c>
      <c r="C2154" s="198"/>
      <c r="D2154" s="345" t="s">
        <v>2783</v>
      </c>
      <c r="E2154" s="206" t="s">
        <v>99</v>
      </c>
      <c r="F2154" s="281">
        <v>4</v>
      </c>
      <c r="G2154" s="229"/>
      <c r="H2154" s="230"/>
    </row>
    <row r="2155" spans="2:8" ht="38.25">
      <c r="B2155" s="129" t="s">
        <v>2814</v>
      </c>
      <c r="C2155" s="198"/>
      <c r="D2155" s="345" t="s">
        <v>2738</v>
      </c>
      <c r="E2155" s="206" t="s">
        <v>99</v>
      </c>
      <c r="F2155" s="281">
        <v>14</v>
      </c>
      <c r="G2155" s="229"/>
      <c r="H2155" s="230"/>
    </row>
    <row r="2156" spans="2:8">
      <c r="B2156" s="129" t="s">
        <v>2815</v>
      </c>
      <c r="C2156" s="198"/>
      <c r="D2156" s="345" t="s">
        <v>2715</v>
      </c>
      <c r="E2156" s="206" t="s">
        <v>99</v>
      </c>
      <c r="F2156" s="281">
        <v>3</v>
      </c>
      <c r="G2156" s="229"/>
      <c r="H2156" s="230"/>
    </row>
    <row r="2157" spans="2:8">
      <c r="B2157" s="129" t="s">
        <v>2816</v>
      </c>
      <c r="C2157" s="198"/>
      <c r="D2157" s="345" t="s">
        <v>2741</v>
      </c>
      <c r="E2157" s="206" t="s">
        <v>99</v>
      </c>
      <c r="F2157" s="281">
        <v>1</v>
      </c>
      <c r="G2157" s="229"/>
      <c r="H2157" s="230"/>
    </row>
    <row r="2158" spans="2:8">
      <c r="B2158" s="129" t="s">
        <v>2817</v>
      </c>
      <c r="C2158" s="198"/>
      <c r="D2158" s="332" t="s">
        <v>2717</v>
      </c>
      <c r="E2158" s="206" t="s">
        <v>99</v>
      </c>
      <c r="F2158" s="281">
        <v>7</v>
      </c>
      <c r="G2158" s="229"/>
      <c r="H2158" s="230"/>
    </row>
    <row r="2159" spans="2:8">
      <c r="B2159" s="129" t="s">
        <v>2818</v>
      </c>
      <c r="C2159" s="198"/>
      <c r="D2159" s="345" t="s">
        <v>2744</v>
      </c>
      <c r="E2159" s="206" t="s">
        <v>99</v>
      </c>
      <c r="F2159" s="281">
        <v>15</v>
      </c>
      <c r="G2159" s="229"/>
      <c r="H2159" s="230"/>
    </row>
    <row r="2160" spans="2:8">
      <c r="B2160" s="129" t="s">
        <v>2819</v>
      </c>
      <c r="C2160" s="198"/>
      <c r="D2160" s="332" t="s">
        <v>2721</v>
      </c>
      <c r="E2160" s="206" t="s">
        <v>99</v>
      </c>
      <c r="F2160" s="281">
        <v>6</v>
      </c>
      <c r="G2160" s="229"/>
      <c r="H2160" s="230"/>
    </row>
    <row r="2161" spans="2:8">
      <c r="B2161" s="129" t="s">
        <v>2820</v>
      </c>
      <c r="C2161" s="198"/>
      <c r="D2161" s="345" t="s">
        <v>2723</v>
      </c>
      <c r="E2161" s="206" t="s">
        <v>99</v>
      </c>
      <c r="F2161" s="281">
        <v>20</v>
      </c>
      <c r="G2161" s="229"/>
      <c r="H2161" s="230"/>
    </row>
    <row r="2162" spans="2:8">
      <c r="B2162" s="129" t="s">
        <v>2821</v>
      </c>
      <c r="C2162" s="198"/>
      <c r="D2162" s="345" t="s">
        <v>2725</v>
      </c>
      <c r="E2162" s="206" t="s">
        <v>99</v>
      </c>
      <c r="F2162" s="281">
        <v>7</v>
      </c>
      <c r="G2162" s="229"/>
      <c r="H2162" s="230"/>
    </row>
    <row r="2163" spans="2:8" ht="25.5">
      <c r="B2163" s="129" t="s">
        <v>2822</v>
      </c>
      <c r="C2163" s="198"/>
      <c r="D2163" s="345" t="s">
        <v>2755</v>
      </c>
      <c r="E2163" s="206" t="s">
        <v>99</v>
      </c>
      <c r="F2163" s="281">
        <v>2</v>
      </c>
      <c r="G2163" s="229"/>
      <c r="H2163" s="230"/>
    </row>
    <row r="2164" spans="2:8">
      <c r="B2164" s="129" t="s">
        <v>2823</v>
      </c>
      <c r="C2164" s="198"/>
      <c r="D2164" s="345" t="s">
        <v>2757</v>
      </c>
      <c r="E2164" s="206" t="s">
        <v>99</v>
      </c>
      <c r="F2164" s="281">
        <v>2</v>
      </c>
      <c r="G2164" s="229"/>
      <c r="H2164" s="230"/>
    </row>
    <row r="2165" spans="2:8">
      <c r="B2165" s="129" t="s">
        <v>2824</v>
      </c>
      <c r="C2165" s="333"/>
      <c r="D2165" s="334" t="s">
        <v>272</v>
      </c>
      <c r="E2165" s="206"/>
      <c r="F2165" s="281"/>
      <c r="G2165" s="243"/>
      <c r="H2165" s="242"/>
    </row>
    <row r="2166" spans="2:8" ht="25.5">
      <c r="B2166" s="129" t="s">
        <v>2825</v>
      </c>
      <c r="C2166" s="198"/>
      <c r="D2166" s="345" t="s">
        <v>2711</v>
      </c>
      <c r="E2166" s="206" t="s">
        <v>99</v>
      </c>
      <c r="F2166" s="281">
        <v>10</v>
      </c>
      <c r="G2166" s="229"/>
      <c r="H2166" s="230"/>
    </row>
    <row r="2167" spans="2:8" ht="25.5">
      <c r="B2167" s="129" t="s">
        <v>2826</v>
      </c>
      <c r="C2167" s="198"/>
      <c r="D2167" s="345" t="s">
        <v>2783</v>
      </c>
      <c r="E2167" s="206" t="s">
        <v>99</v>
      </c>
      <c r="F2167" s="281">
        <v>4</v>
      </c>
      <c r="G2167" s="229"/>
      <c r="H2167" s="230"/>
    </row>
    <row r="2168" spans="2:8" ht="25.5">
      <c r="B2168" s="129" t="s">
        <v>2827</v>
      </c>
      <c r="C2168" s="198"/>
      <c r="D2168" s="345" t="s">
        <v>2796</v>
      </c>
      <c r="E2168" s="206" t="s">
        <v>99</v>
      </c>
      <c r="F2168" s="281">
        <v>1</v>
      </c>
      <c r="G2168" s="229"/>
      <c r="H2168" s="230"/>
    </row>
    <row r="2169" spans="2:8" ht="25.5">
      <c r="B2169" s="129" t="s">
        <v>2828</v>
      </c>
      <c r="C2169" s="198"/>
      <c r="D2169" s="332" t="s">
        <v>2798</v>
      </c>
      <c r="E2169" s="206" t="s">
        <v>99</v>
      </c>
      <c r="F2169" s="281">
        <v>1</v>
      </c>
      <c r="G2169" s="229"/>
      <c r="H2169" s="230"/>
    </row>
    <row r="2170" spans="2:8" ht="38.25">
      <c r="B2170" s="129" t="s">
        <v>2829</v>
      </c>
      <c r="C2170" s="198"/>
      <c r="D2170" s="345" t="s">
        <v>2738</v>
      </c>
      <c r="E2170" s="206" t="s">
        <v>99</v>
      </c>
      <c r="F2170" s="281">
        <v>15</v>
      </c>
      <c r="G2170" s="229"/>
      <c r="H2170" s="230"/>
    </row>
    <row r="2171" spans="2:8">
      <c r="B2171" s="129" t="s">
        <v>2830</v>
      </c>
      <c r="C2171" s="198"/>
      <c r="D2171" s="345" t="s">
        <v>2715</v>
      </c>
      <c r="E2171" s="206" t="s">
        <v>99</v>
      </c>
      <c r="F2171" s="281">
        <v>3</v>
      </c>
      <c r="G2171" s="229"/>
      <c r="H2171" s="230"/>
    </row>
    <row r="2172" spans="2:8">
      <c r="B2172" s="129" t="s">
        <v>2831</v>
      </c>
      <c r="C2172" s="198"/>
      <c r="D2172" s="345" t="s">
        <v>2741</v>
      </c>
      <c r="E2172" s="206" t="s">
        <v>99</v>
      </c>
      <c r="F2172" s="281">
        <v>1</v>
      </c>
      <c r="G2172" s="229"/>
      <c r="H2172" s="230"/>
    </row>
    <row r="2173" spans="2:8">
      <c r="B2173" s="129" t="s">
        <v>2832</v>
      </c>
      <c r="C2173" s="198"/>
      <c r="D2173" s="332" t="s">
        <v>2717</v>
      </c>
      <c r="E2173" s="206" t="s">
        <v>99</v>
      </c>
      <c r="F2173" s="281">
        <v>7</v>
      </c>
      <c r="G2173" s="229"/>
      <c r="H2173" s="230"/>
    </row>
    <row r="2174" spans="2:8">
      <c r="B2174" s="129" t="s">
        <v>2833</v>
      </c>
      <c r="C2174" s="198"/>
      <c r="D2174" s="345" t="s">
        <v>2744</v>
      </c>
      <c r="E2174" s="206" t="s">
        <v>99</v>
      </c>
      <c r="F2174" s="281">
        <v>15</v>
      </c>
      <c r="G2174" s="229"/>
      <c r="H2174" s="230"/>
    </row>
    <row r="2175" spans="2:8">
      <c r="B2175" s="129" t="s">
        <v>2834</v>
      </c>
      <c r="C2175" s="198"/>
      <c r="D2175" s="332" t="s">
        <v>2721</v>
      </c>
      <c r="E2175" s="206" t="s">
        <v>99</v>
      </c>
      <c r="F2175" s="281">
        <v>6</v>
      </c>
      <c r="G2175" s="229"/>
      <c r="H2175" s="230"/>
    </row>
    <row r="2176" spans="2:8">
      <c r="B2176" s="129" t="s">
        <v>2835</v>
      </c>
      <c r="C2176" s="198"/>
      <c r="D2176" s="345" t="s">
        <v>2723</v>
      </c>
      <c r="E2176" s="206" t="s">
        <v>99</v>
      </c>
      <c r="F2176" s="281">
        <v>20</v>
      </c>
      <c r="G2176" s="229"/>
      <c r="H2176" s="230"/>
    </row>
    <row r="2177" spans="2:8">
      <c r="B2177" s="129" t="s">
        <v>2836</v>
      </c>
      <c r="C2177" s="198"/>
      <c r="D2177" s="345" t="s">
        <v>2725</v>
      </c>
      <c r="E2177" s="206" t="s">
        <v>99</v>
      </c>
      <c r="F2177" s="281">
        <v>7</v>
      </c>
      <c r="G2177" s="229"/>
      <c r="H2177" s="230"/>
    </row>
    <row r="2178" spans="2:8">
      <c r="B2178" s="129" t="s">
        <v>2837</v>
      </c>
      <c r="C2178" s="198"/>
      <c r="D2178" s="332" t="s">
        <v>2808</v>
      </c>
      <c r="E2178" s="206" t="s">
        <v>309</v>
      </c>
      <c r="F2178" s="281">
        <v>1</v>
      </c>
      <c r="G2178" s="229"/>
      <c r="H2178" s="230"/>
    </row>
    <row r="2179" spans="2:8" ht="25.5">
      <c r="B2179" s="129" t="s">
        <v>2838</v>
      </c>
      <c r="C2179" s="198"/>
      <c r="D2179" s="345" t="s">
        <v>2755</v>
      </c>
      <c r="E2179" s="206" t="s">
        <v>99</v>
      </c>
      <c r="F2179" s="281">
        <v>1</v>
      </c>
      <c r="G2179" s="229"/>
      <c r="H2179" s="230"/>
    </row>
    <row r="2180" spans="2:8">
      <c r="B2180" s="129" t="s">
        <v>2839</v>
      </c>
      <c r="C2180" s="198"/>
      <c r="D2180" s="345" t="s">
        <v>2757</v>
      </c>
      <c r="E2180" s="206" t="s">
        <v>99</v>
      </c>
      <c r="F2180" s="281">
        <v>1</v>
      </c>
      <c r="G2180" s="229"/>
      <c r="H2180" s="230"/>
    </row>
    <row r="2181" spans="2:8">
      <c r="B2181" s="129" t="s">
        <v>2840</v>
      </c>
      <c r="C2181" s="333"/>
      <c r="D2181" s="334" t="s">
        <v>279</v>
      </c>
      <c r="E2181" s="206"/>
      <c r="F2181" s="281"/>
      <c r="G2181" s="243"/>
      <c r="H2181" s="242"/>
    </row>
    <row r="2182" spans="2:8" ht="25.5">
      <c r="B2182" s="129" t="s">
        <v>2841</v>
      </c>
      <c r="C2182" s="198"/>
      <c r="D2182" s="345" t="s">
        <v>2711</v>
      </c>
      <c r="E2182" s="206" t="s">
        <v>99</v>
      </c>
      <c r="F2182" s="281">
        <v>10</v>
      </c>
      <c r="G2182" s="229"/>
      <c r="H2182" s="230"/>
    </row>
    <row r="2183" spans="2:8" ht="25.5">
      <c r="B2183" s="129" t="s">
        <v>2842</v>
      </c>
      <c r="C2183" s="198"/>
      <c r="D2183" s="345" t="s">
        <v>2783</v>
      </c>
      <c r="E2183" s="206" t="s">
        <v>99</v>
      </c>
      <c r="F2183" s="281">
        <v>4</v>
      </c>
      <c r="G2183" s="229"/>
      <c r="H2183" s="230"/>
    </row>
    <row r="2184" spans="2:8" ht="38.25">
      <c r="B2184" s="129" t="s">
        <v>2843</v>
      </c>
      <c r="C2184" s="198"/>
      <c r="D2184" s="345" t="s">
        <v>2738</v>
      </c>
      <c r="E2184" s="206" t="s">
        <v>99</v>
      </c>
      <c r="F2184" s="281">
        <v>14</v>
      </c>
      <c r="G2184" s="229"/>
      <c r="H2184" s="230"/>
    </row>
    <row r="2185" spans="2:8">
      <c r="B2185" s="129" t="s">
        <v>2844</v>
      </c>
      <c r="C2185" s="198"/>
      <c r="D2185" s="345" t="s">
        <v>2715</v>
      </c>
      <c r="E2185" s="206" t="s">
        <v>99</v>
      </c>
      <c r="F2185" s="281">
        <v>3</v>
      </c>
      <c r="G2185" s="229"/>
      <c r="H2185" s="230"/>
    </row>
    <row r="2186" spans="2:8">
      <c r="B2186" s="129" t="s">
        <v>2845</v>
      </c>
      <c r="C2186" s="198"/>
      <c r="D2186" s="345" t="s">
        <v>2741</v>
      </c>
      <c r="E2186" s="206" t="s">
        <v>99</v>
      </c>
      <c r="F2186" s="281">
        <v>1</v>
      </c>
      <c r="G2186" s="229"/>
      <c r="H2186" s="230"/>
    </row>
    <row r="2187" spans="2:8">
      <c r="B2187" s="129" t="s">
        <v>2846</v>
      </c>
      <c r="C2187" s="198"/>
      <c r="D2187" s="332" t="s">
        <v>2717</v>
      </c>
      <c r="E2187" s="206" t="s">
        <v>99</v>
      </c>
      <c r="F2187" s="281">
        <v>7</v>
      </c>
      <c r="G2187" s="229"/>
      <c r="H2187" s="230"/>
    </row>
    <row r="2188" spans="2:8">
      <c r="B2188" s="129" t="s">
        <v>2847</v>
      </c>
      <c r="C2188" s="198"/>
      <c r="D2188" s="345" t="s">
        <v>2744</v>
      </c>
      <c r="E2188" s="206" t="s">
        <v>99</v>
      </c>
      <c r="F2188" s="281">
        <v>15</v>
      </c>
      <c r="G2188" s="229"/>
      <c r="H2188" s="230"/>
    </row>
    <row r="2189" spans="2:8">
      <c r="B2189" s="129" t="s">
        <v>2848</v>
      </c>
      <c r="C2189" s="198"/>
      <c r="D2189" s="332" t="s">
        <v>2721</v>
      </c>
      <c r="E2189" s="206" t="s">
        <v>99</v>
      </c>
      <c r="F2189" s="281">
        <v>6</v>
      </c>
      <c r="G2189" s="229"/>
      <c r="H2189" s="230"/>
    </row>
    <row r="2190" spans="2:8">
      <c r="B2190" s="129" t="s">
        <v>2849</v>
      </c>
      <c r="C2190" s="198"/>
      <c r="D2190" s="345" t="s">
        <v>2723</v>
      </c>
      <c r="E2190" s="206" t="s">
        <v>99</v>
      </c>
      <c r="F2190" s="281">
        <v>20</v>
      </c>
      <c r="G2190" s="229"/>
      <c r="H2190" s="230"/>
    </row>
    <row r="2191" spans="2:8">
      <c r="B2191" s="129" t="s">
        <v>2850</v>
      </c>
      <c r="C2191" s="198"/>
      <c r="D2191" s="345" t="s">
        <v>2725</v>
      </c>
      <c r="E2191" s="206" t="s">
        <v>99</v>
      </c>
      <c r="F2191" s="281">
        <v>7</v>
      </c>
      <c r="G2191" s="229"/>
      <c r="H2191" s="230"/>
    </row>
    <row r="2192" spans="2:8" ht="25.5">
      <c r="B2192" s="129" t="s">
        <v>2851</v>
      </c>
      <c r="C2192" s="198"/>
      <c r="D2192" s="345" t="s">
        <v>2755</v>
      </c>
      <c r="E2192" s="206" t="s">
        <v>99</v>
      </c>
      <c r="F2192" s="281">
        <v>2</v>
      </c>
      <c r="G2192" s="229"/>
      <c r="H2192" s="230"/>
    </row>
    <row r="2193" spans="2:8">
      <c r="B2193" s="129" t="s">
        <v>2852</v>
      </c>
      <c r="C2193" s="198"/>
      <c r="D2193" s="345" t="s">
        <v>2757</v>
      </c>
      <c r="E2193" s="206" t="s">
        <v>99</v>
      </c>
      <c r="F2193" s="281">
        <v>2</v>
      </c>
      <c r="G2193" s="229"/>
      <c r="H2193" s="230"/>
    </row>
    <row r="2194" spans="2:8">
      <c r="B2194" s="129" t="s">
        <v>2853</v>
      </c>
      <c r="C2194" s="333"/>
      <c r="D2194" s="334" t="s">
        <v>286</v>
      </c>
      <c r="E2194" s="206"/>
      <c r="F2194" s="281"/>
      <c r="G2194" s="243"/>
      <c r="H2194" s="242"/>
    </row>
    <row r="2195" spans="2:8" ht="25.5">
      <c r="B2195" s="129" t="s">
        <v>2854</v>
      </c>
      <c r="C2195" s="198"/>
      <c r="D2195" s="345" t="s">
        <v>2711</v>
      </c>
      <c r="E2195" s="206" t="s">
        <v>99</v>
      </c>
      <c r="F2195" s="281">
        <v>10</v>
      </c>
      <c r="G2195" s="229"/>
      <c r="H2195" s="230"/>
    </row>
    <row r="2196" spans="2:8" ht="25.5">
      <c r="B2196" s="129" t="s">
        <v>2855</v>
      </c>
      <c r="C2196" s="198"/>
      <c r="D2196" s="345" t="s">
        <v>2783</v>
      </c>
      <c r="E2196" s="206" t="s">
        <v>99</v>
      </c>
      <c r="F2196" s="281">
        <v>4</v>
      </c>
      <c r="G2196" s="229"/>
      <c r="H2196" s="230"/>
    </row>
    <row r="2197" spans="2:8" ht="25.5">
      <c r="B2197" s="129" t="s">
        <v>2856</v>
      </c>
      <c r="C2197" s="198"/>
      <c r="D2197" s="345" t="s">
        <v>2796</v>
      </c>
      <c r="E2197" s="206" t="s">
        <v>99</v>
      </c>
      <c r="F2197" s="281">
        <v>1</v>
      </c>
      <c r="G2197" s="229"/>
      <c r="H2197" s="230"/>
    </row>
    <row r="2198" spans="2:8" ht="25.5">
      <c r="B2198" s="129" t="s">
        <v>2857</v>
      </c>
      <c r="C2198" s="198"/>
      <c r="D2198" s="332" t="s">
        <v>2798</v>
      </c>
      <c r="E2198" s="206" t="s">
        <v>99</v>
      </c>
      <c r="F2198" s="281">
        <v>1</v>
      </c>
      <c r="G2198" s="229"/>
      <c r="H2198" s="230"/>
    </row>
    <row r="2199" spans="2:8" ht="38.25">
      <c r="B2199" s="129" t="s">
        <v>2858</v>
      </c>
      <c r="C2199" s="198"/>
      <c r="D2199" s="345" t="s">
        <v>2738</v>
      </c>
      <c r="E2199" s="206" t="s">
        <v>99</v>
      </c>
      <c r="F2199" s="281">
        <v>15</v>
      </c>
      <c r="G2199" s="229"/>
      <c r="H2199" s="230"/>
    </row>
    <row r="2200" spans="2:8">
      <c r="B2200" s="129" t="s">
        <v>2859</v>
      </c>
      <c r="C2200" s="198"/>
      <c r="D2200" s="345" t="s">
        <v>2715</v>
      </c>
      <c r="E2200" s="206" t="s">
        <v>99</v>
      </c>
      <c r="F2200" s="281">
        <v>3</v>
      </c>
      <c r="G2200" s="229"/>
      <c r="H2200" s="230"/>
    </row>
    <row r="2201" spans="2:8">
      <c r="B2201" s="129" t="s">
        <v>2860</v>
      </c>
      <c r="C2201" s="198"/>
      <c r="D2201" s="345" t="s">
        <v>2741</v>
      </c>
      <c r="E2201" s="206" t="s">
        <v>99</v>
      </c>
      <c r="F2201" s="281">
        <v>1</v>
      </c>
      <c r="G2201" s="229"/>
      <c r="H2201" s="230"/>
    </row>
    <row r="2202" spans="2:8">
      <c r="B2202" s="129" t="s">
        <v>2861</v>
      </c>
      <c r="C2202" s="198"/>
      <c r="D2202" s="332" t="s">
        <v>2717</v>
      </c>
      <c r="E2202" s="206" t="s">
        <v>99</v>
      </c>
      <c r="F2202" s="281">
        <v>7</v>
      </c>
      <c r="G2202" s="229"/>
      <c r="H2202" s="230"/>
    </row>
    <row r="2203" spans="2:8">
      <c r="B2203" s="129" t="s">
        <v>2862</v>
      </c>
      <c r="C2203" s="198"/>
      <c r="D2203" s="345" t="s">
        <v>2744</v>
      </c>
      <c r="E2203" s="206" t="s">
        <v>99</v>
      </c>
      <c r="F2203" s="281">
        <v>15</v>
      </c>
      <c r="G2203" s="229"/>
      <c r="H2203" s="230"/>
    </row>
    <row r="2204" spans="2:8">
      <c r="B2204" s="129" t="s">
        <v>2863</v>
      </c>
      <c r="C2204" s="198"/>
      <c r="D2204" s="332" t="s">
        <v>2721</v>
      </c>
      <c r="E2204" s="206" t="s">
        <v>99</v>
      </c>
      <c r="F2204" s="281">
        <v>6</v>
      </c>
      <c r="G2204" s="229"/>
      <c r="H2204" s="230"/>
    </row>
    <row r="2205" spans="2:8">
      <c r="B2205" s="129" t="s">
        <v>2864</v>
      </c>
      <c r="C2205" s="198"/>
      <c r="D2205" s="345" t="s">
        <v>2723</v>
      </c>
      <c r="E2205" s="206" t="s">
        <v>99</v>
      </c>
      <c r="F2205" s="281">
        <v>20</v>
      </c>
      <c r="G2205" s="229"/>
      <c r="H2205" s="230"/>
    </row>
    <row r="2206" spans="2:8">
      <c r="B2206" s="129" t="s">
        <v>2865</v>
      </c>
      <c r="C2206" s="198"/>
      <c r="D2206" s="345" t="s">
        <v>2725</v>
      </c>
      <c r="E2206" s="206" t="s">
        <v>99</v>
      </c>
      <c r="F2206" s="281">
        <v>7</v>
      </c>
      <c r="G2206" s="229"/>
      <c r="H2206" s="230"/>
    </row>
    <row r="2207" spans="2:8">
      <c r="B2207" s="129" t="s">
        <v>2866</v>
      </c>
      <c r="C2207" s="198"/>
      <c r="D2207" s="332" t="s">
        <v>2808</v>
      </c>
      <c r="E2207" s="206" t="s">
        <v>309</v>
      </c>
      <c r="F2207" s="281">
        <v>1</v>
      </c>
      <c r="G2207" s="229"/>
      <c r="H2207" s="230"/>
    </row>
    <row r="2208" spans="2:8" ht="25.5">
      <c r="B2208" s="129" t="s">
        <v>2867</v>
      </c>
      <c r="C2208" s="333"/>
      <c r="D2208" s="345" t="s">
        <v>2755</v>
      </c>
      <c r="E2208" s="206" t="s">
        <v>99</v>
      </c>
      <c r="F2208" s="281">
        <v>1</v>
      </c>
      <c r="G2208" s="243"/>
      <c r="H2208" s="242"/>
    </row>
    <row r="2209" spans="2:8">
      <c r="B2209" s="129" t="s">
        <v>2868</v>
      </c>
      <c r="C2209" s="198"/>
      <c r="D2209" s="345" t="s">
        <v>2757</v>
      </c>
      <c r="E2209" s="206" t="s">
        <v>99</v>
      </c>
      <c r="F2209" s="281">
        <v>1</v>
      </c>
      <c r="G2209" s="229"/>
      <c r="H2209" s="230"/>
    </row>
    <row r="2210" spans="2:8">
      <c r="B2210" s="129" t="s">
        <v>2869</v>
      </c>
      <c r="C2210" s="333"/>
      <c r="D2210" s="334" t="s">
        <v>293</v>
      </c>
      <c r="E2210" s="206"/>
      <c r="F2210" s="281"/>
      <c r="G2210" s="243"/>
      <c r="H2210" s="242"/>
    </row>
    <row r="2211" spans="2:8" ht="25.5">
      <c r="B2211" s="129" t="s">
        <v>2870</v>
      </c>
      <c r="C2211" s="198"/>
      <c r="D2211" s="345" t="s">
        <v>2711</v>
      </c>
      <c r="E2211" s="206" t="s">
        <v>99</v>
      </c>
      <c r="F2211" s="281">
        <v>10</v>
      </c>
      <c r="G2211" s="229"/>
      <c r="H2211" s="230"/>
    </row>
    <row r="2212" spans="2:8" ht="25.5">
      <c r="B2212" s="129" t="s">
        <v>2871</v>
      </c>
      <c r="C2212" s="198"/>
      <c r="D2212" s="345" t="s">
        <v>2783</v>
      </c>
      <c r="E2212" s="206" t="s">
        <v>99</v>
      </c>
      <c r="F2212" s="281">
        <v>4</v>
      </c>
      <c r="G2212" s="229"/>
      <c r="H2212" s="230"/>
    </row>
    <row r="2213" spans="2:8" ht="25.5">
      <c r="B2213" s="129" t="s">
        <v>2872</v>
      </c>
      <c r="C2213" s="198"/>
      <c r="D2213" s="345" t="s">
        <v>2796</v>
      </c>
      <c r="E2213" s="206" t="s">
        <v>99</v>
      </c>
      <c r="F2213" s="281">
        <v>1</v>
      </c>
      <c r="G2213" s="229"/>
      <c r="H2213" s="230"/>
    </row>
    <row r="2214" spans="2:8" ht="25.5">
      <c r="B2214" s="129" t="s">
        <v>2873</v>
      </c>
      <c r="C2214" s="198"/>
      <c r="D2214" s="332" t="s">
        <v>2798</v>
      </c>
      <c r="E2214" s="206" t="s">
        <v>99</v>
      </c>
      <c r="F2214" s="281">
        <v>1</v>
      </c>
      <c r="G2214" s="229"/>
      <c r="H2214" s="230"/>
    </row>
    <row r="2215" spans="2:8" ht="38.25">
      <c r="B2215" s="129" t="s">
        <v>2874</v>
      </c>
      <c r="C2215" s="198"/>
      <c r="D2215" s="345" t="s">
        <v>2738</v>
      </c>
      <c r="E2215" s="206" t="s">
        <v>99</v>
      </c>
      <c r="F2215" s="281">
        <v>15</v>
      </c>
      <c r="G2215" s="229"/>
      <c r="H2215" s="230"/>
    </row>
    <row r="2216" spans="2:8">
      <c r="B2216" s="129" t="s">
        <v>2875</v>
      </c>
      <c r="C2216" s="198"/>
      <c r="D2216" s="345" t="s">
        <v>2715</v>
      </c>
      <c r="E2216" s="206" t="s">
        <v>99</v>
      </c>
      <c r="F2216" s="281">
        <v>3</v>
      </c>
      <c r="G2216" s="229"/>
      <c r="H2216" s="230"/>
    </row>
    <row r="2217" spans="2:8">
      <c r="B2217" s="129" t="s">
        <v>2876</v>
      </c>
      <c r="C2217" s="198"/>
      <c r="D2217" s="345" t="s">
        <v>2741</v>
      </c>
      <c r="E2217" s="206" t="s">
        <v>99</v>
      </c>
      <c r="F2217" s="281">
        <v>1</v>
      </c>
      <c r="G2217" s="229"/>
      <c r="H2217" s="230"/>
    </row>
    <row r="2218" spans="2:8">
      <c r="B2218" s="129" t="s">
        <v>2877</v>
      </c>
      <c r="C2218" s="198"/>
      <c r="D2218" s="332" t="s">
        <v>2717</v>
      </c>
      <c r="E2218" s="206" t="s">
        <v>99</v>
      </c>
      <c r="F2218" s="281">
        <v>7</v>
      </c>
      <c r="G2218" s="229"/>
      <c r="H2218" s="230"/>
    </row>
    <row r="2219" spans="2:8">
      <c r="B2219" s="129" t="s">
        <v>2878</v>
      </c>
      <c r="C2219" s="198"/>
      <c r="D2219" s="345" t="s">
        <v>2744</v>
      </c>
      <c r="E2219" s="206" t="s">
        <v>99</v>
      </c>
      <c r="F2219" s="281">
        <v>15</v>
      </c>
      <c r="G2219" s="229"/>
      <c r="H2219" s="230"/>
    </row>
    <row r="2220" spans="2:8">
      <c r="B2220" s="129" t="s">
        <v>2879</v>
      </c>
      <c r="C2220" s="198"/>
      <c r="D2220" s="332" t="s">
        <v>2721</v>
      </c>
      <c r="E2220" s="206" t="s">
        <v>99</v>
      </c>
      <c r="F2220" s="281">
        <v>6</v>
      </c>
      <c r="G2220" s="229"/>
      <c r="H2220" s="230"/>
    </row>
    <row r="2221" spans="2:8">
      <c r="B2221" s="129" t="s">
        <v>2880</v>
      </c>
      <c r="C2221" s="198"/>
      <c r="D2221" s="345" t="s">
        <v>2723</v>
      </c>
      <c r="E2221" s="206" t="s">
        <v>99</v>
      </c>
      <c r="F2221" s="281">
        <v>20</v>
      </c>
      <c r="G2221" s="229"/>
      <c r="H2221" s="230"/>
    </row>
    <row r="2222" spans="2:8">
      <c r="B2222" s="129" t="s">
        <v>2881</v>
      </c>
      <c r="C2222" s="198"/>
      <c r="D2222" s="345" t="s">
        <v>2725</v>
      </c>
      <c r="E2222" s="206" t="s">
        <v>99</v>
      </c>
      <c r="F2222" s="281">
        <v>7</v>
      </c>
      <c r="G2222" s="229"/>
      <c r="H2222" s="230"/>
    </row>
    <row r="2223" spans="2:8">
      <c r="B2223" s="129" t="s">
        <v>2882</v>
      </c>
      <c r="C2223" s="198"/>
      <c r="D2223" s="332" t="s">
        <v>2808</v>
      </c>
      <c r="E2223" s="206" t="s">
        <v>309</v>
      </c>
      <c r="F2223" s="281">
        <v>1</v>
      </c>
      <c r="G2223" s="229"/>
      <c r="H2223" s="230"/>
    </row>
    <row r="2224" spans="2:8" ht="25.5">
      <c r="B2224" s="129" t="s">
        <v>2883</v>
      </c>
      <c r="C2224" s="198"/>
      <c r="D2224" s="345" t="s">
        <v>2755</v>
      </c>
      <c r="E2224" s="206" t="s">
        <v>99</v>
      </c>
      <c r="F2224" s="281">
        <v>1</v>
      </c>
      <c r="G2224" s="243"/>
      <c r="H2224" s="242"/>
    </row>
    <row r="2225" spans="2:8">
      <c r="B2225" s="129" t="s">
        <v>2884</v>
      </c>
      <c r="C2225" s="198"/>
      <c r="D2225" s="345" t="s">
        <v>2757</v>
      </c>
      <c r="E2225" s="206" t="s">
        <v>99</v>
      </c>
      <c r="F2225" s="281">
        <v>1</v>
      </c>
      <c r="G2225" s="229"/>
      <c r="H2225" s="230"/>
    </row>
    <row r="2226" spans="2:8">
      <c r="B2226" s="129" t="s">
        <v>2885</v>
      </c>
      <c r="C2226" s="198"/>
      <c r="D2226" s="334" t="s">
        <v>719</v>
      </c>
      <c r="E2226" s="206"/>
      <c r="F2226" s="281"/>
      <c r="G2226" s="243"/>
      <c r="H2226" s="242"/>
    </row>
    <row r="2227" spans="2:8" ht="25.5">
      <c r="B2227" s="129" t="s">
        <v>2886</v>
      </c>
      <c r="C2227" s="198"/>
      <c r="D2227" s="345" t="s">
        <v>2711</v>
      </c>
      <c r="E2227" s="206" t="s">
        <v>99</v>
      </c>
      <c r="F2227" s="281">
        <v>4</v>
      </c>
      <c r="G2227" s="229"/>
      <c r="H2227" s="230"/>
    </row>
    <row r="2228" spans="2:8" ht="38.25">
      <c r="B2228" s="129" t="s">
        <v>2887</v>
      </c>
      <c r="C2228" s="198"/>
      <c r="D2228" s="345" t="s">
        <v>2738</v>
      </c>
      <c r="E2228" s="206" t="s">
        <v>99</v>
      </c>
      <c r="F2228" s="281">
        <v>2</v>
      </c>
      <c r="G2228" s="229"/>
      <c r="H2228" s="230"/>
    </row>
    <row r="2229" spans="2:8">
      <c r="B2229" s="129" t="s">
        <v>2888</v>
      </c>
      <c r="C2229" s="198"/>
      <c r="D2229" s="345" t="s">
        <v>2715</v>
      </c>
      <c r="E2229" s="206" t="s">
        <v>99</v>
      </c>
      <c r="F2229" s="281">
        <v>1</v>
      </c>
      <c r="G2229" s="229"/>
      <c r="H2229" s="230"/>
    </row>
    <row r="2230" spans="2:8">
      <c r="B2230" s="129" t="s">
        <v>2889</v>
      </c>
      <c r="C2230" s="198"/>
      <c r="D2230" s="345" t="s">
        <v>2741</v>
      </c>
      <c r="E2230" s="206" t="s">
        <v>99</v>
      </c>
      <c r="F2230" s="281">
        <v>1</v>
      </c>
      <c r="G2230" s="229"/>
      <c r="H2230" s="230"/>
    </row>
    <row r="2231" spans="2:8">
      <c r="B2231" s="129" t="s">
        <v>2890</v>
      </c>
      <c r="C2231" s="198"/>
      <c r="D2231" s="332" t="s">
        <v>2717</v>
      </c>
      <c r="E2231" s="206" t="s">
        <v>99</v>
      </c>
      <c r="F2231" s="281">
        <v>2</v>
      </c>
      <c r="G2231" s="229"/>
      <c r="H2231" s="230"/>
    </row>
    <row r="2232" spans="2:8">
      <c r="B2232" s="129" t="s">
        <v>2891</v>
      </c>
      <c r="C2232" s="198"/>
      <c r="D2232" s="345" t="s">
        <v>2744</v>
      </c>
      <c r="E2232" s="206" t="s">
        <v>99</v>
      </c>
      <c r="F2232" s="281">
        <v>4</v>
      </c>
      <c r="G2232" s="229"/>
      <c r="H2232" s="230"/>
    </row>
    <row r="2233" spans="2:8">
      <c r="B2233" s="129" t="s">
        <v>2892</v>
      </c>
      <c r="C2233" s="198"/>
      <c r="D2233" s="332" t="s">
        <v>2721</v>
      </c>
      <c r="E2233" s="206" t="s">
        <v>99</v>
      </c>
      <c r="F2233" s="281">
        <v>1</v>
      </c>
      <c r="G2233" s="229"/>
      <c r="H2233" s="230"/>
    </row>
    <row r="2234" spans="2:8">
      <c r="B2234" s="129" t="s">
        <v>2893</v>
      </c>
      <c r="C2234" s="198"/>
      <c r="D2234" s="345" t="s">
        <v>2723</v>
      </c>
      <c r="E2234" s="206" t="s">
        <v>99</v>
      </c>
      <c r="F2234" s="281">
        <v>6</v>
      </c>
      <c r="G2234" s="229"/>
      <c r="H2234" s="230"/>
    </row>
    <row r="2235" spans="2:8">
      <c r="B2235" s="129" t="s">
        <v>2894</v>
      </c>
      <c r="C2235" s="198"/>
      <c r="D2235" s="345" t="s">
        <v>2725</v>
      </c>
      <c r="E2235" s="206" t="s">
        <v>99</v>
      </c>
      <c r="F2235" s="281">
        <v>2</v>
      </c>
      <c r="G2235" s="229"/>
      <c r="H2235" s="230"/>
    </row>
    <row r="2236" spans="2:8" ht="25.5">
      <c r="B2236" s="129" t="s">
        <v>2895</v>
      </c>
      <c r="C2236" s="198"/>
      <c r="D2236" s="345" t="s">
        <v>2755</v>
      </c>
      <c r="E2236" s="206" t="s">
        <v>99</v>
      </c>
      <c r="F2236" s="281">
        <v>1</v>
      </c>
      <c r="G2236" s="229"/>
      <c r="H2236" s="230"/>
    </row>
    <row r="2237" spans="2:8">
      <c r="B2237" s="129" t="s">
        <v>2896</v>
      </c>
      <c r="C2237" s="198"/>
      <c r="D2237" s="345" t="s">
        <v>2757</v>
      </c>
      <c r="E2237" s="206" t="s">
        <v>99</v>
      </c>
      <c r="F2237" s="281">
        <v>1</v>
      </c>
      <c r="G2237" s="229"/>
      <c r="H2237" s="230"/>
    </row>
    <row r="2238" spans="2:8" ht="15">
      <c r="B2238" s="186" t="s">
        <v>2897</v>
      </c>
      <c r="C2238" s="312"/>
      <c r="D2238" s="313" t="s">
        <v>112</v>
      </c>
      <c r="E2238" s="314"/>
      <c r="F2238" s="283"/>
      <c r="G2238" s="233"/>
      <c r="H2238" s="234"/>
    </row>
    <row r="2239" spans="2:8">
      <c r="B2239" s="183" t="s">
        <v>2898</v>
      </c>
      <c r="C2239" s="198"/>
      <c r="D2239" s="332" t="s">
        <v>2899</v>
      </c>
      <c r="E2239" s="198"/>
      <c r="F2239" s="281"/>
      <c r="G2239" s="229"/>
      <c r="H2239" s="235"/>
    </row>
    <row r="2240" spans="2:8" ht="25.5">
      <c r="B2240" s="183" t="s">
        <v>2900</v>
      </c>
      <c r="C2240" s="198"/>
      <c r="D2240" s="345" t="s">
        <v>2783</v>
      </c>
      <c r="E2240" s="206" t="s">
        <v>99</v>
      </c>
      <c r="F2240" s="281">
        <f>2+5</f>
        <v>7</v>
      </c>
      <c r="G2240" s="229"/>
      <c r="H2240" s="230"/>
    </row>
    <row r="2241" spans="2:8" ht="25.5">
      <c r="B2241" s="183" t="s">
        <v>2901</v>
      </c>
      <c r="C2241" s="198"/>
      <c r="D2241" s="345" t="s">
        <v>2796</v>
      </c>
      <c r="E2241" s="206" t="s">
        <v>99</v>
      </c>
      <c r="F2241" s="281">
        <v>1</v>
      </c>
      <c r="G2241" s="229"/>
      <c r="H2241" s="230"/>
    </row>
    <row r="2242" spans="2:8" ht="25.5">
      <c r="B2242" s="183" t="s">
        <v>2902</v>
      </c>
      <c r="C2242" s="198"/>
      <c r="D2242" s="332" t="s">
        <v>2798</v>
      </c>
      <c r="E2242" s="206" t="s">
        <v>99</v>
      </c>
      <c r="F2242" s="281">
        <v>1</v>
      </c>
      <c r="G2242" s="229"/>
      <c r="H2242" s="230"/>
    </row>
    <row r="2243" spans="2:8" ht="38.25">
      <c r="B2243" s="183" t="s">
        <v>2903</v>
      </c>
      <c r="C2243" s="198"/>
      <c r="D2243" s="345" t="s">
        <v>2738</v>
      </c>
      <c r="E2243" s="206" t="s">
        <v>99</v>
      </c>
      <c r="F2243" s="281">
        <f>2+4</f>
        <v>6</v>
      </c>
      <c r="G2243" s="229"/>
      <c r="H2243" s="230"/>
    </row>
    <row r="2244" spans="2:8">
      <c r="B2244" s="183" t="s">
        <v>2904</v>
      </c>
      <c r="C2244" s="198"/>
      <c r="D2244" s="345" t="s">
        <v>2715</v>
      </c>
      <c r="E2244" s="206" t="s">
        <v>99</v>
      </c>
      <c r="F2244" s="281">
        <v>2</v>
      </c>
      <c r="G2244" s="229"/>
      <c r="H2244" s="230"/>
    </row>
    <row r="2245" spans="2:8">
      <c r="B2245" s="183" t="s">
        <v>2905</v>
      </c>
      <c r="C2245" s="198"/>
      <c r="D2245" s="332" t="s">
        <v>2717</v>
      </c>
      <c r="E2245" s="206" t="s">
        <v>99</v>
      </c>
      <c r="F2245" s="281">
        <f>2+3</f>
        <v>5</v>
      </c>
      <c r="G2245" s="229"/>
      <c r="H2245" s="230"/>
    </row>
    <row r="2246" spans="2:8">
      <c r="B2246" s="183" t="s">
        <v>2906</v>
      </c>
      <c r="C2246" s="198"/>
      <c r="D2246" s="345" t="s">
        <v>2744</v>
      </c>
      <c r="E2246" s="206" t="s">
        <v>99</v>
      </c>
      <c r="F2246" s="281">
        <f>2+5</f>
        <v>7</v>
      </c>
      <c r="G2246" s="229"/>
      <c r="H2246" s="230"/>
    </row>
    <row r="2247" spans="2:8">
      <c r="B2247" s="183" t="s">
        <v>2907</v>
      </c>
      <c r="C2247" s="198"/>
      <c r="D2247" s="332" t="s">
        <v>2721</v>
      </c>
      <c r="E2247" s="206" t="s">
        <v>99</v>
      </c>
      <c r="F2247" s="281">
        <v>2</v>
      </c>
      <c r="G2247" s="229"/>
      <c r="H2247" s="230"/>
    </row>
    <row r="2248" spans="2:8">
      <c r="B2248" s="183" t="s">
        <v>2908</v>
      </c>
      <c r="C2248" s="198"/>
      <c r="D2248" s="345" t="s">
        <v>2723</v>
      </c>
      <c r="E2248" s="206" t="s">
        <v>99</v>
      </c>
      <c r="F2248" s="281">
        <f>2+8</f>
        <v>10</v>
      </c>
      <c r="G2248" s="229"/>
      <c r="H2248" s="230"/>
    </row>
    <row r="2249" spans="2:8">
      <c r="B2249" s="183" t="s">
        <v>2909</v>
      </c>
      <c r="C2249" s="198"/>
      <c r="D2249" s="345" t="s">
        <v>2725</v>
      </c>
      <c r="E2249" s="206" t="s">
        <v>99</v>
      </c>
      <c r="F2249" s="281">
        <f>2+3</f>
        <v>5</v>
      </c>
      <c r="G2249" s="229"/>
      <c r="H2249" s="230"/>
    </row>
    <row r="2250" spans="2:8">
      <c r="B2250" s="183" t="s">
        <v>2910</v>
      </c>
      <c r="C2250" s="198"/>
      <c r="D2250" s="332" t="s">
        <v>2808</v>
      </c>
      <c r="E2250" s="206" t="s">
        <v>309</v>
      </c>
      <c r="F2250" s="281">
        <v>1</v>
      </c>
      <c r="G2250" s="229"/>
      <c r="H2250" s="230"/>
    </row>
    <row r="2251" spans="2:8">
      <c r="B2251" s="183" t="s">
        <v>2911</v>
      </c>
      <c r="C2251" s="198"/>
      <c r="D2251" s="332" t="s">
        <v>2912</v>
      </c>
      <c r="E2251" s="206" t="s">
        <v>99</v>
      </c>
      <c r="F2251" s="281">
        <v>2</v>
      </c>
      <c r="G2251" s="229"/>
      <c r="H2251" s="230"/>
    </row>
    <row r="2252" spans="2:8">
      <c r="B2252" s="183" t="s">
        <v>2913</v>
      </c>
      <c r="C2252" s="198"/>
      <c r="D2252" s="332" t="s">
        <v>679</v>
      </c>
      <c r="E2252" s="206"/>
      <c r="F2252" s="281"/>
      <c r="G2252" s="229"/>
      <c r="H2252" s="235"/>
    </row>
    <row r="2253" spans="2:8" ht="25.5">
      <c r="B2253" s="183" t="s">
        <v>2914</v>
      </c>
      <c r="C2253" s="198"/>
      <c r="D2253" s="345" t="s">
        <v>2783</v>
      </c>
      <c r="E2253" s="206" t="s">
        <v>99</v>
      </c>
      <c r="F2253" s="281">
        <v>6</v>
      </c>
      <c r="G2253" s="229"/>
      <c r="H2253" s="230"/>
    </row>
    <row r="2254" spans="2:8" ht="25.5">
      <c r="B2254" s="183" t="s">
        <v>2915</v>
      </c>
      <c r="C2254" s="198"/>
      <c r="D2254" s="345" t="s">
        <v>2711</v>
      </c>
      <c r="E2254" s="206" t="s">
        <v>99</v>
      </c>
      <c r="F2254" s="281">
        <v>1</v>
      </c>
      <c r="G2254" s="229"/>
      <c r="H2254" s="230"/>
    </row>
    <row r="2255" spans="2:8" ht="25.5">
      <c r="B2255" s="183" t="s">
        <v>2916</v>
      </c>
      <c r="C2255" s="198"/>
      <c r="D2255" s="345" t="s">
        <v>2796</v>
      </c>
      <c r="E2255" s="206" t="s">
        <v>99</v>
      </c>
      <c r="F2255" s="281">
        <v>1</v>
      </c>
      <c r="G2255" s="229"/>
      <c r="H2255" s="230"/>
    </row>
    <row r="2256" spans="2:8" ht="25.5">
      <c r="B2256" s="183" t="s">
        <v>2917</v>
      </c>
      <c r="C2256" s="198"/>
      <c r="D2256" s="332" t="s">
        <v>2798</v>
      </c>
      <c r="E2256" s="206" t="s">
        <v>99</v>
      </c>
      <c r="F2256" s="281">
        <v>1</v>
      </c>
      <c r="G2256" s="229"/>
      <c r="H2256" s="230"/>
    </row>
    <row r="2257" spans="2:8">
      <c r="B2257" s="183" t="s">
        <v>2918</v>
      </c>
      <c r="C2257" s="198"/>
      <c r="D2257" s="332" t="s">
        <v>2919</v>
      </c>
      <c r="E2257" s="206" t="s">
        <v>99</v>
      </c>
      <c r="F2257" s="281">
        <v>1</v>
      </c>
      <c r="G2257" s="229"/>
      <c r="H2257" s="230"/>
    </row>
    <row r="2258" spans="2:8" ht="38.25">
      <c r="B2258" s="183" t="s">
        <v>2920</v>
      </c>
      <c r="C2258" s="198"/>
      <c r="D2258" s="345" t="s">
        <v>2738</v>
      </c>
      <c r="E2258" s="206" t="s">
        <v>99</v>
      </c>
      <c r="F2258" s="281">
        <v>4</v>
      </c>
      <c r="G2258" s="229"/>
      <c r="H2258" s="230"/>
    </row>
    <row r="2259" spans="2:8">
      <c r="B2259" s="183" t="s">
        <v>2921</v>
      </c>
      <c r="C2259" s="198"/>
      <c r="D2259" s="345" t="s">
        <v>2715</v>
      </c>
      <c r="E2259" s="206" t="s">
        <v>99</v>
      </c>
      <c r="F2259" s="281">
        <v>3</v>
      </c>
      <c r="G2259" s="229"/>
      <c r="H2259" s="230"/>
    </row>
    <row r="2260" spans="2:8">
      <c r="B2260" s="183" t="s">
        <v>2922</v>
      </c>
      <c r="C2260" s="198"/>
      <c r="D2260" s="332" t="s">
        <v>2717</v>
      </c>
      <c r="E2260" s="206" t="s">
        <v>99</v>
      </c>
      <c r="F2260" s="281">
        <v>4</v>
      </c>
      <c r="G2260" s="229"/>
      <c r="H2260" s="230"/>
    </row>
    <row r="2261" spans="2:8">
      <c r="B2261" s="183" t="s">
        <v>2923</v>
      </c>
      <c r="C2261" s="198"/>
      <c r="D2261" s="345" t="s">
        <v>2744</v>
      </c>
      <c r="E2261" s="206" t="s">
        <v>99</v>
      </c>
      <c r="F2261" s="281">
        <v>8</v>
      </c>
      <c r="G2261" s="229"/>
      <c r="H2261" s="230"/>
    </row>
    <row r="2262" spans="2:8">
      <c r="B2262" s="183" t="s">
        <v>2924</v>
      </c>
      <c r="C2262" s="198"/>
      <c r="D2262" s="332" t="s">
        <v>2721</v>
      </c>
      <c r="E2262" s="206" t="s">
        <v>99</v>
      </c>
      <c r="F2262" s="281">
        <v>3</v>
      </c>
      <c r="G2262" s="229"/>
      <c r="H2262" s="230"/>
    </row>
    <row r="2263" spans="2:8">
      <c r="B2263" s="183" t="s">
        <v>2925</v>
      </c>
      <c r="C2263" s="198"/>
      <c r="D2263" s="345" t="s">
        <v>2723</v>
      </c>
      <c r="E2263" s="206" t="s">
        <v>99</v>
      </c>
      <c r="F2263" s="281">
        <v>12</v>
      </c>
      <c r="G2263" s="229"/>
      <c r="H2263" s="230"/>
    </row>
    <row r="2264" spans="2:8">
      <c r="B2264" s="183" t="s">
        <v>2926</v>
      </c>
      <c r="C2264" s="198"/>
      <c r="D2264" s="345" t="s">
        <v>2725</v>
      </c>
      <c r="E2264" s="206" t="s">
        <v>99</v>
      </c>
      <c r="F2264" s="281">
        <v>4</v>
      </c>
      <c r="G2264" s="229"/>
      <c r="H2264" s="230"/>
    </row>
    <row r="2265" spans="2:8">
      <c r="B2265" s="183" t="s">
        <v>2927</v>
      </c>
      <c r="C2265" s="198"/>
      <c r="D2265" s="332" t="s">
        <v>2808</v>
      </c>
      <c r="E2265" s="206" t="s">
        <v>309</v>
      </c>
      <c r="F2265" s="281">
        <v>1</v>
      </c>
      <c r="G2265" s="229"/>
      <c r="H2265" s="230"/>
    </row>
    <row r="2266" spans="2:8">
      <c r="B2266" s="183" t="s">
        <v>2928</v>
      </c>
      <c r="C2266" s="198"/>
      <c r="D2266" s="332" t="s">
        <v>2912</v>
      </c>
      <c r="E2266" s="206" t="s">
        <v>99</v>
      </c>
      <c r="F2266" s="281">
        <v>1</v>
      </c>
      <c r="G2266" s="229"/>
      <c r="H2266" s="230"/>
    </row>
    <row r="2267" spans="2:8" ht="25.5">
      <c r="B2267" s="183" t="s">
        <v>2929</v>
      </c>
      <c r="C2267" s="198"/>
      <c r="D2267" s="345" t="s">
        <v>2930</v>
      </c>
      <c r="E2267" s="206" t="s">
        <v>99</v>
      </c>
      <c r="F2267" s="281">
        <v>2</v>
      </c>
      <c r="G2267" s="229"/>
      <c r="H2267" s="230"/>
    </row>
    <row r="2268" spans="2:8">
      <c r="B2268" s="183" t="s">
        <v>2931</v>
      </c>
      <c r="C2268" s="198"/>
      <c r="D2268" s="345" t="s">
        <v>2932</v>
      </c>
      <c r="E2268" s="206" t="s">
        <v>99</v>
      </c>
      <c r="F2268" s="281">
        <v>2</v>
      </c>
      <c r="G2268" s="229"/>
      <c r="H2268" s="230"/>
    </row>
    <row r="2269" spans="2:8" ht="14.25">
      <c r="B2269" s="186" t="s">
        <v>2933</v>
      </c>
      <c r="C2269" s="323"/>
      <c r="D2269" s="324" t="s">
        <v>407</v>
      </c>
      <c r="E2269" s="325"/>
      <c r="F2269" s="286"/>
      <c r="G2269" s="238"/>
      <c r="H2269" s="239"/>
    </row>
    <row r="2270" spans="2:8">
      <c r="B2270" s="183" t="s">
        <v>2934</v>
      </c>
      <c r="C2270" s="198"/>
      <c r="D2270" s="332" t="s">
        <v>818</v>
      </c>
      <c r="E2270" s="198"/>
      <c r="F2270" s="281"/>
      <c r="G2270" s="229"/>
      <c r="H2270" s="230"/>
    </row>
    <row r="2271" spans="2:8" ht="25.5">
      <c r="B2271" s="183" t="s">
        <v>2935</v>
      </c>
      <c r="C2271" s="198"/>
      <c r="D2271" s="345" t="s">
        <v>2711</v>
      </c>
      <c r="E2271" s="206" t="s">
        <v>99</v>
      </c>
      <c r="F2271" s="281">
        <v>1</v>
      </c>
      <c r="G2271" s="229"/>
      <c r="H2271" s="230"/>
    </row>
    <row r="2272" spans="2:8" ht="25.5">
      <c r="B2272" s="183" t="s">
        <v>2936</v>
      </c>
      <c r="C2272" s="198"/>
      <c r="D2272" s="345" t="s">
        <v>2937</v>
      </c>
      <c r="E2272" s="206"/>
      <c r="F2272" s="281">
        <v>1</v>
      </c>
      <c r="G2272" s="229"/>
      <c r="H2272" s="230"/>
    </row>
    <row r="2273" spans="2:8">
      <c r="B2273" s="183" t="s">
        <v>2938</v>
      </c>
      <c r="C2273" s="198"/>
      <c r="D2273" s="332" t="s">
        <v>2919</v>
      </c>
      <c r="E2273" s="206" t="s">
        <v>99</v>
      </c>
      <c r="F2273" s="281">
        <v>2</v>
      </c>
      <c r="G2273" s="229"/>
      <c r="H2273" s="230"/>
    </row>
    <row r="2274" spans="2:8" ht="38.25">
      <c r="B2274" s="183" t="s">
        <v>2939</v>
      </c>
      <c r="C2274" s="198"/>
      <c r="D2274" s="345" t="s">
        <v>2738</v>
      </c>
      <c r="E2274" s="206" t="s">
        <v>99</v>
      </c>
      <c r="F2274" s="281">
        <v>1</v>
      </c>
      <c r="G2274" s="229"/>
      <c r="H2274" s="230"/>
    </row>
    <row r="2275" spans="2:8">
      <c r="B2275" s="183" t="s">
        <v>2940</v>
      </c>
      <c r="C2275" s="198"/>
      <c r="D2275" s="332" t="s">
        <v>2717</v>
      </c>
      <c r="E2275" s="206" t="s">
        <v>99</v>
      </c>
      <c r="F2275" s="281">
        <v>3</v>
      </c>
      <c r="G2275" s="229"/>
      <c r="H2275" s="230"/>
    </row>
    <row r="2276" spans="2:8">
      <c r="B2276" s="183" t="s">
        <v>2941</v>
      </c>
      <c r="C2276" s="198"/>
      <c r="D2276" s="345" t="s">
        <v>2744</v>
      </c>
      <c r="E2276" s="206" t="s">
        <v>99</v>
      </c>
      <c r="F2276" s="281">
        <v>2</v>
      </c>
      <c r="G2276" s="229"/>
      <c r="H2276" s="230"/>
    </row>
    <row r="2277" spans="2:8">
      <c r="B2277" s="183" t="s">
        <v>2942</v>
      </c>
      <c r="C2277" s="198"/>
      <c r="D2277" s="332" t="s">
        <v>2721</v>
      </c>
      <c r="E2277" s="206" t="s">
        <v>99</v>
      </c>
      <c r="F2277" s="281">
        <v>2</v>
      </c>
      <c r="G2277" s="229"/>
      <c r="H2277" s="230"/>
    </row>
    <row r="2278" spans="2:8">
      <c r="B2278" s="183" t="s">
        <v>2943</v>
      </c>
      <c r="C2278" s="198"/>
      <c r="D2278" s="345" t="s">
        <v>2723</v>
      </c>
      <c r="E2278" s="206" t="s">
        <v>99</v>
      </c>
      <c r="F2278" s="281">
        <v>4</v>
      </c>
      <c r="G2278" s="229"/>
      <c r="H2278" s="230"/>
    </row>
    <row r="2279" spans="2:8">
      <c r="B2279" s="183" t="s">
        <v>2944</v>
      </c>
      <c r="C2279" s="198"/>
      <c r="D2279" s="345" t="s">
        <v>2725</v>
      </c>
      <c r="E2279" s="206" t="s">
        <v>99</v>
      </c>
      <c r="F2279" s="281">
        <v>2</v>
      </c>
      <c r="G2279" s="229"/>
      <c r="H2279" s="230"/>
    </row>
    <row r="2280" spans="2:8">
      <c r="B2280" s="183" t="s">
        <v>2945</v>
      </c>
      <c r="C2280" s="198"/>
      <c r="D2280" s="332" t="s">
        <v>2912</v>
      </c>
      <c r="E2280" s="206" t="s">
        <v>99</v>
      </c>
      <c r="F2280" s="281">
        <v>1</v>
      </c>
      <c r="G2280" s="229"/>
      <c r="H2280" s="230"/>
    </row>
    <row r="2281" spans="2:8" ht="25.5">
      <c r="B2281" s="183" t="s">
        <v>2946</v>
      </c>
      <c r="C2281" s="198"/>
      <c r="D2281" s="345" t="s">
        <v>2947</v>
      </c>
      <c r="E2281" s="206" t="s">
        <v>99</v>
      </c>
      <c r="F2281" s="281">
        <v>1</v>
      </c>
      <c r="G2281" s="229"/>
      <c r="H2281" s="230"/>
    </row>
    <row r="2282" spans="2:8">
      <c r="B2282" s="183" t="s">
        <v>2948</v>
      </c>
      <c r="C2282" s="198"/>
      <c r="D2282" s="345" t="s">
        <v>2757</v>
      </c>
      <c r="E2282" s="206" t="s">
        <v>99</v>
      </c>
      <c r="F2282" s="281">
        <v>1</v>
      </c>
      <c r="G2282" s="229"/>
      <c r="H2282" s="230"/>
    </row>
    <row r="2283" spans="2:8">
      <c r="B2283" s="183" t="s">
        <v>2949</v>
      </c>
      <c r="C2283" s="198"/>
      <c r="D2283" s="332" t="s">
        <v>2950</v>
      </c>
      <c r="E2283" s="206"/>
      <c r="F2283" s="281"/>
      <c r="G2283" s="229"/>
      <c r="H2283" s="230"/>
    </row>
    <row r="2284" spans="2:8" ht="25.5">
      <c r="B2284" s="183" t="s">
        <v>2951</v>
      </c>
      <c r="C2284" s="198"/>
      <c r="D2284" s="345" t="s">
        <v>2711</v>
      </c>
      <c r="E2284" s="206" t="s">
        <v>99</v>
      </c>
      <c r="F2284" s="281">
        <v>4</v>
      </c>
      <c r="G2284" s="229"/>
      <c r="H2284" s="230"/>
    </row>
    <row r="2285" spans="2:8" ht="38.25">
      <c r="B2285" s="183" t="s">
        <v>2952</v>
      </c>
      <c r="C2285" s="198"/>
      <c r="D2285" s="345" t="s">
        <v>2738</v>
      </c>
      <c r="E2285" s="206" t="s">
        <v>99</v>
      </c>
      <c r="F2285" s="281">
        <v>4</v>
      </c>
      <c r="G2285" s="229"/>
      <c r="H2285" s="230"/>
    </row>
    <row r="2286" spans="2:8">
      <c r="B2286" s="183" t="s">
        <v>2953</v>
      </c>
      <c r="C2286" s="198"/>
      <c r="D2286" s="345" t="s">
        <v>2715</v>
      </c>
      <c r="E2286" s="206" t="s">
        <v>99</v>
      </c>
      <c r="F2286" s="281">
        <v>2</v>
      </c>
      <c r="G2286" s="229"/>
      <c r="H2286" s="230"/>
    </row>
    <row r="2287" spans="2:8">
      <c r="B2287" s="183" t="s">
        <v>2954</v>
      </c>
      <c r="C2287" s="198"/>
      <c r="D2287" s="332" t="s">
        <v>2717</v>
      </c>
      <c r="E2287" s="206" t="s">
        <v>99</v>
      </c>
      <c r="F2287" s="281">
        <v>2</v>
      </c>
      <c r="G2287" s="229"/>
      <c r="H2287" s="230"/>
    </row>
    <row r="2288" spans="2:8">
      <c r="B2288" s="183" t="s">
        <v>2955</v>
      </c>
      <c r="C2288" s="198"/>
      <c r="D2288" s="345" t="s">
        <v>2744</v>
      </c>
      <c r="E2288" s="206" t="s">
        <v>99</v>
      </c>
      <c r="F2288" s="281">
        <v>4</v>
      </c>
      <c r="G2288" s="229"/>
      <c r="H2288" s="230"/>
    </row>
    <row r="2289" spans="2:8">
      <c r="B2289" s="183" t="s">
        <v>2956</v>
      </c>
      <c r="C2289" s="198"/>
      <c r="D2289" s="332" t="s">
        <v>2721</v>
      </c>
      <c r="E2289" s="206" t="s">
        <v>99</v>
      </c>
      <c r="F2289" s="281">
        <v>4</v>
      </c>
      <c r="G2289" s="229"/>
      <c r="H2289" s="230"/>
    </row>
    <row r="2290" spans="2:8">
      <c r="B2290" s="183" t="s">
        <v>2957</v>
      </c>
      <c r="C2290" s="198"/>
      <c r="D2290" s="345" t="s">
        <v>2723</v>
      </c>
      <c r="E2290" s="206" t="s">
        <v>99</v>
      </c>
      <c r="F2290" s="281">
        <v>8</v>
      </c>
      <c r="G2290" s="229"/>
      <c r="H2290" s="230"/>
    </row>
    <row r="2291" spans="2:8">
      <c r="B2291" s="183" t="s">
        <v>2958</v>
      </c>
      <c r="C2291" s="198"/>
      <c r="D2291" s="345" t="s">
        <v>2725</v>
      </c>
      <c r="E2291" s="206" t="s">
        <v>99</v>
      </c>
      <c r="F2291" s="281">
        <v>2</v>
      </c>
      <c r="G2291" s="229"/>
      <c r="H2291" s="230"/>
    </row>
    <row r="2292" spans="2:8" ht="13.5" thickBot="1">
      <c r="B2292" s="183" t="s">
        <v>2959</v>
      </c>
      <c r="C2292" s="198"/>
      <c r="D2292" s="332" t="s">
        <v>2912</v>
      </c>
      <c r="E2292" s="206" t="s">
        <v>99</v>
      </c>
      <c r="F2292" s="281">
        <v>4</v>
      </c>
      <c r="G2292" s="229"/>
      <c r="H2292" s="230"/>
    </row>
    <row r="2293" spans="2:8" ht="16.5" thickBot="1">
      <c r="B2293" s="479" t="s">
        <v>2960</v>
      </c>
      <c r="C2293" s="480" t="s">
        <v>2961</v>
      </c>
      <c r="D2293" s="481" t="s">
        <v>2962</v>
      </c>
      <c r="E2293" s="482"/>
      <c r="F2293" s="483"/>
      <c r="G2293" s="493"/>
      <c r="H2293" s="280"/>
    </row>
    <row r="2294" spans="2:8" ht="15">
      <c r="B2294" s="486" t="s">
        <v>2963</v>
      </c>
      <c r="C2294" s="487"/>
      <c r="D2294" s="488" t="s">
        <v>1536</v>
      </c>
      <c r="E2294" s="489"/>
      <c r="F2294" s="490"/>
      <c r="G2294" s="491"/>
      <c r="H2294" s="492"/>
    </row>
    <row r="2295" spans="2:8" ht="25.5">
      <c r="B2295" s="129" t="s">
        <v>2964</v>
      </c>
      <c r="C2295" s="198"/>
      <c r="D2295" s="332" t="s">
        <v>2965</v>
      </c>
      <c r="E2295" s="198" t="s">
        <v>2258</v>
      </c>
      <c r="F2295" s="281">
        <v>358.07</v>
      </c>
      <c r="G2295" s="229"/>
      <c r="H2295" s="230"/>
    </row>
    <row r="2296" spans="2:8" ht="25.5">
      <c r="B2296" s="129" t="s">
        <v>2966</v>
      </c>
      <c r="C2296" s="198"/>
      <c r="D2296" s="332" t="s">
        <v>2967</v>
      </c>
      <c r="E2296" s="198" t="s">
        <v>2258</v>
      </c>
      <c r="F2296" s="281">
        <v>26.83</v>
      </c>
      <c r="G2296" s="229"/>
      <c r="H2296" s="230"/>
    </row>
    <row r="2297" spans="2:8" ht="38.25">
      <c r="B2297" s="129" t="s">
        <v>2968</v>
      </c>
      <c r="C2297" s="198"/>
      <c r="D2297" s="332" t="s">
        <v>2969</v>
      </c>
      <c r="E2297" s="198" t="s">
        <v>2245</v>
      </c>
      <c r="F2297" s="281">
        <v>4</v>
      </c>
      <c r="G2297" s="229"/>
      <c r="H2297" s="230"/>
    </row>
    <row r="2298" spans="2:8" ht="25.5">
      <c r="B2298" s="129" t="s">
        <v>2970</v>
      </c>
      <c r="C2298" s="198"/>
      <c r="D2298" s="332" t="s">
        <v>2971</v>
      </c>
      <c r="E2298" s="198" t="s">
        <v>2245</v>
      </c>
      <c r="F2298" s="281">
        <v>4</v>
      </c>
      <c r="G2298" s="229"/>
      <c r="H2298" s="230"/>
    </row>
    <row r="2299" spans="2:8" ht="25.5">
      <c r="B2299" s="129" t="s">
        <v>2972</v>
      </c>
      <c r="C2299" s="198"/>
      <c r="D2299" s="332" t="s">
        <v>2973</v>
      </c>
      <c r="E2299" s="198" t="s">
        <v>2245</v>
      </c>
      <c r="F2299" s="281">
        <v>13</v>
      </c>
      <c r="G2299" s="229"/>
      <c r="H2299" s="230"/>
    </row>
    <row r="2300" spans="2:8" ht="25.5">
      <c r="B2300" s="129" t="s">
        <v>2974</v>
      </c>
      <c r="C2300" s="198"/>
      <c r="D2300" s="332" t="s">
        <v>2975</v>
      </c>
      <c r="E2300" s="198" t="s">
        <v>2245</v>
      </c>
      <c r="F2300" s="281">
        <v>24</v>
      </c>
      <c r="G2300" s="229"/>
      <c r="H2300" s="230"/>
    </row>
    <row r="2301" spans="2:8" ht="25.5">
      <c r="B2301" s="129" t="s">
        <v>2976</v>
      </c>
      <c r="C2301" s="198"/>
      <c r="D2301" s="332" t="s">
        <v>2977</v>
      </c>
      <c r="E2301" s="198" t="s">
        <v>2245</v>
      </c>
      <c r="F2301" s="281">
        <v>31</v>
      </c>
      <c r="G2301" s="229"/>
      <c r="H2301" s="230"/>
    </row>
    <row r="2302" spans="2:8" ht="25.5">
      <c r="B2302" s="129" t="s">
        <v>2978</v>
      </c>
      <c r="C2302" s="198"/>
      <c r="D2302" s="332" t="s">
        <v>2979</v>
      </c>
      <c r="E2302" s="198" t="s">
        <v>2245</v>
      </c>
      <c r="F2302" s="281">
        <v>4</v>
      </c>
      <c r="G2302" s="229"/>
      <c r="H2302" s="230"/>
    </row>
    <row r="2303" spans="2:8" ht="51">
      <c r="B2303" s="129" t="s">
        <v>2980</v>
      </c>
      <c r="C2303" s="198"/>
      <c r="D2303" s="332" t="s">
        <v>2292</v>
      </c>
      <c r="E2303" s="198" t="s">
        <v>2245</v>
      </c>
      <c r="F2303" s="281">
        <v>2</v>
      </c>
      <c r="G2303" s="229"/>
      <c r="H2303" s="230"/>
    </row>
    <row r="2304" spans="2:8" ht="15">
      <c r="B2304" s="186" t="s">
        <v>2981</v>
      </c>
      <c r="C2304" s="312"/>
      <c r="D2304" s="313" t="s">
        <v>2982</v>
      </c>
      <c r="E2304" s="314"/>
      <c r="F2304" s="283"/>
      <c r="G2304" s="233"/>
      <c r="H2304" s="234"/>
    </row>
    <row r="2305" spans="2:8" ht="38.25">
      <c r="B2305" s="129" t="s">
        <v>2983</v>
      </c>
      <c r="C2305" s="198"/>
      <c r="D2305" s="332" t="s">
        <v>2984</v>
      </c>
      <c r="E2305" s="198" t="s">
        <v>99</v>
      </c>
      <c r="F2305" s="281">
        <f>22+2+6+10</f>
        <v>40</v>
      </c>
      <c r="G2305" s="229"/>
      <c r="H2305" s="230"/>
    </row>
    <row r="2306" spans="2:8" ht="38.25">
      <c r="B2306" s="129" t="s">
        <v>2985</v>
      </c>
      <c r="C2306" s="198"/>
      <c r="D2306" s="332" t="s">
        <v>2986</v>
      </c>
      <c r="E2306" s="198" t="s">
        <v>309</v>
      </c>
      <c r="F2306" s="281">
        <v>1</v>
      </c>
      <c r="G2306" s="229"/>
      <c r="H2306" s="230"/>
    </row>
    <row r="2307" spans="2:8" ht="25.5">
      <c r="B2307" s="129" t="s">
        <v>2987</v>
      </c>
      <c r="C2307" s="198"/>
      <c r="D2307" s="332" t="s">
        <v>2988</v>
      </c>
      <c r="E2307" s="198" t="s">
        <v>309</v>
      </c>
      <c r="F2307" s="281">
        <v>1</v>
      </c>
      <c r="G2307" s="229"/>
      <c r="H2307" s="230"/>
    </row>
    <row r="2308" spans="2:8" ht="15">
      <c r="B2308" s="186" t="s">
        <v>2989</v>
      </c>
      <c r="C2308" s="312"/>
      <c r="D2308" s="313" t="s">
        <v>2990</v>
      </c>
      <c r="E2308" s="314"/>
      <c r="F2308" s="283"/>
      <c r="G2308" s="233"/>
      <c r="H2308" s="234"/>
    </row>
    <row r="2309" spans="2:8">
      <c r="B2309" s="129" t="s">
        <v>2991</v>
      </c>
      <c r="C2309" s="198"/>
      <c r="D2309" s="332" t="s">
        <v>2992</v>
      </c>
      <c r="E2309" s="198" t="s">
        <v>309</v>
      </c>
      <c r="F2309" s="281">
        <v>1</v>
      </c>
      <c r="G2309" s="229"/>
      <c r="H2309" s="230"/>
    </row>
    <row r="2310" spans="2:8">
      <c r="B2310" s="129" t="s">
        <v>2993</v>
      </c>
      <c r="C2310" s="198"/>
      <c r="D2310" s="332" t="s">
        <v>2994</v>
      </c>
      <c r="E2310" s="198" t="s">
        <v>309</v>
      </c>
      <c r="F2310" s="281">
        <v>1</v>
      </c>
      <c r="G2310" s="229"/>
      <c r="H2310" s="230"/>
    </row>
    <row r="2311" spans="2:8" ht="25.5">
      <c r="B2311" s="129" t="s">
        <v>2995</v>
      </c>
      <c r="C2311" s="198"/>
      <c r="D2311" s="332" t="s">
        <v>2996</v>
      </c>
      <c r="E2311" s="198" t="s">
        <v>309</v>
      </c>
      <c r="F2311" s="281">
        <v>1</v>
      </c>
      <c r="G2311" s="229"/>
      <c r="H2311" s="230"/>
    </row>
    <row r="2312" spans="2:8" ht="15">
      <c r="B2312" s="186" t="s">
        <v>2997</v>
      </c>
      <c r="C2312" s="312"/>
      <c r="D2312" s="313" t="s">
        <v>2998</v>
      </c>
      <c r="E2312" s="314"/>
      <c r="F2312" s="283"/>
      <c r="G2312" s="233"/>
      <c r="H2312" s="234"/>
    </row>
    <row r="2313" spans="2:8">
      <c r="B2313" s="129" t="s">
        <v>2999</v>
      </c>
      <c r="C2313" s="198"/>
      <c r="D2313" s="332" t="s">
        <v>3000</v>
      </c>
      <c r="E2313" s="198" t="s">
        <v>309</v>
      </c>
      <c r="F2313" s="281">
        <v>1</v>
      </c>
      <c r="G2313" s="229"/>
      <c r="H2313" s="230"/>
    </row>
    <row r="2314" spans="2:8">
      <c r="B2314" s="129" t="s">
        <v>3001</v>
      </c>
      <c r="C2314" s="198"/>
      <c r="D2314" s="332" t="s">
        <v>3002</v>
      </c>
      <c r="E2314" s="198" t="s">
        <v>309</v>
      </c>
      <c r="F2314" s="281">
        <v>1</v>
      </c>
      <c r="G2314" s="229"/>
      <c r="H2314" s="230"/>
    </row>
    <row r="2315" spans="2:8">
      <c r="B2315" s="129" t="s">
        <v>3003</v>
      </c>
      <c r="C2315" s="198"/>
      <c r="D2315" s="332" t="s">
        <v>3004</v>
      </c>
      <c r="E2315" s="198" t="s">
        <v>309</v>
      </c>
      <c r="F2315" s="281">
        <v>1</v>
      </c>
      <c r="G2315" s="229"/>
      <c r="H2315" s="230"/>
    </row>
    <row r="2316" spans="2:8">
      <c r="B2316" s="129" t="s">
        <v>3005</v>
      </c>
      <c r="C2316" s="198"/>
      <c r="D2316" s="332" t="s">
        <v>3006</v>
      </c>
      <c r="E2316" s="198" t="s">
        <v>309</v>
      </c>
      <c r="F2316" s="281">
        <v>1</v>
      </c>
      <c r="G2316" s="229"/>
      <c r="H2316" s="230"/>
    </row>
    <row r="2317" spans="2:8" ht="25.5">
      <c r="B2317" s="129" t="s">
        <v>3007</v>
      </c>
      <c r="C2317" s="198"/>
      <c r="D2317" s="332" t="s">
        <v>3008</v>
      </c>
      <c r="E2317" s="198"/>
      <c r="F2317" s="281"/>
      <c r="G2317" s="229"/>
      <c r="H2317" s="230"/>
    </row>
    <row r="2318" spans="2:8">
      <c r="B2318" s="129" t="s">
        <v>3009</v>
      </c>
      <c r="C2318" s="198"/>
      <c r="D2318" s="332" t="s">
        <v>3010</v>
      </c>
      <c r="E2318" s="198" t="s">
        <v>309</v>
      </c>
      <c r="F2318" s="281">
        <v>1</v>
      </c>
      <c r="G2318" s="229"/>
      <c r="H2318" s="230"/>
    </row>
    <row r="2319" spans="2:8">
      <c r="B2319" s="129" t="s">
        <v>3011</v>
      </c>
      <c r="C2319" s="198"/>
      <c r="D2319" s="332" t="s">
        <v>3012</v>
      </c>
      <c r="E2319" s="198" t="s">
        <v>309</v>
      </c>
      <c r="F2319" s="281">
        <v>1</v>
      </c>
      <c r="G2319" s="229"/>
      <c r="H2319" s="230"/>
    </row>
    <row r="2320" spans="2:8">
      <c r="B2320" s="129" t="s">
        <v>3013</v>
      </c>
      <c r="C2320" s="198"/>
      <c r="D2320" s="332" t="s">
        <v>3014</v>
      </c>
      <c r="E2320" s="198" t="s">
        <v>309</v>
      </c>
      <c r="F2320" s="281">
        <v>1</v>
      </c>
      <c r="G2320" s="229"/>
      <c r="H2320" s="230"/>
    </row>
    <row r="2321" spans="2:8">
      <c r="B2321" s="129" t="s">
        <v>3015</v>
      </c>
      <c r="C2321" s="198"/>
      <c r="D2321" s="332" t="s">
        <v>3016</v>
      </c>
      <c r="E2321" s="198" t="s">
        <v>309</v>
      </c>
      <c r="F2321" s="281">
        <v>1</v>
      </c>
      <c r="G2321" s="229"/>
      <c r="H2321" s="230"/>
    </row>
    <row r="2322" spans="2:8">
      <c r="B2322" s="129" t="s">
        <v>3017</v>
      </c>
      <c r="C2322" s="198"/>
      <c r="D2322" s="332" t="s">
        <v>3018</v>
      </c>
      <c r="E2322" s="198"/>
      <c r="F2322" s="281"/>
      <c r="G2322" s="229"/>
      <c r="H2322" s="230"/>
    </row>
    <row r="2323" spans="2:8">
      <c r="B2323" s="129" t="s">
        <v>3019</v>
      </c>
      <c r="C2323" s="198"/>
      <c r="D2323" s="332" t="s">
        <v>3020</v>
      </c>
      <c r="E2323" s="198" t="s">
        <v>309</v>
      </c>
      <c r="F2323" s="281">
        <v>1</v>
      </c>
      <c r="G2323" s="229"/>
      <c r="H2323" s="230"/>
    </row>
    <row r="2324" spans="2:8" ht="25.5">
      <c r="B2324" s="129" t="s">
        <v>3021</v>
      </c>
      <c r="C2324" s="198"/>
      <c r="D2324" s="332" t="s">
        <v>3022</v>
      </c>
      <c r="E2324" s="198"/>
      <c r="F2324" s="281"/>
      <c r="G2324" s="229"/>
      <c r="H2324" s="230"/>
    </row>
    <row r="2325" spans="2:8">
      <c r="B2325" s="129" t="s">
        <v>3023</v>
      </c>
      <c r="C2325" s="198"/>
      <c r="D2325" s="332" t="s">
        <v>3024</v>
      </c>
      <c r="E2325" s="198" t="s">
        <v>309</v>
      </c>
      <c r="F2325" s="281">
        <v>1</v>
      </c>
      <c r="G2325" s="229"/>
      <c r="H2325" s="230"/>
    </row>
    <row r="2326" spans="2:8" ht="29.25">
      <c r="B2326" s="186" t="s">
        <v>3025</v>
      </c>
      <c r="C2326" s="312"/>
      <c r="D2326" s="313" t="s">
        <v>3026</v>
      </c>
      <c r="E2326" s="314"/>
      <c r="F2326" s="283"/>
      <c r="G2326" s="233"/>
      <c r="H2326" s="234"/>
    </row>
    <row r="2327" spans="2:8">
      <c r="B2327" s="129" t="s">
        <v>3027</v>
      </c>
      <c r="C2327" s="198"/>
      <c r="D2327" s="332" t="s">
        <v>3028</v>
      </c>
      <c r="E2327" s="198" t="s">
        <v>309</v>
      </c>
      <c r="F2327" s="281">
        <v>1</v>
      </c>
      <c r="G2327" s="229"/>
      <c r="H2327" s="230"/>
    </row>
    <row r="2328" spans="2:8" ht="15">
      <c r="B2328" s="186" t="s">
        <v>3029</v>
      </c>
      <c r="C2328" s="312"/>
      <c r="D2328" s="313" t="s">
        <v>3030</v>
      </c>
      <c r="E2328" s="314"/>
      <c r="F2328" s="283"/>
      <c r="G2328" s="233"/>
      <c r="H2328" s="234"/>
    </row>
    <row r="2329" spans="2:8">
      <c r="B2329" s="129" t="s">
        <v>3031</v>
      </c>
      <c r="C2329" s="198"/>
      <c r="D2329" s="332" t="s">
        <v>3032</v>
      </c>
      <c r="E2329" s="198" t="s">
        <v>309</v>
      </c>
      <c r="F2329" s="281">
        <v>1</v>
      </c>
      <c r="G2329" s="229"/>
      <c r="H2329" s="230"/>
    </row>
    <row r="2330" spans="2:8" ht="25.5">
      <c r="B2330" s="129" t="s">
        <v>3033</v>
      </c>
      <c r="C2330" s="198"/>
      <c r="D2330" s="332" t="s">
        <v>3034</v>
      </c>
      <c r="E2330" s="198" t="s">
        <v>209</v>
      </c>
      <c r="F2330" s="281">
        <v>394</v>
      </c>
      <c r="G2330" s="229"/>
      <c r="H2330" s="230"/>
    </row>
    <row r="2331" spans="2:8">
      <c r="B2331" s="129" t="s">
        <v>3035</v>
      </c>
      <c r="C2331" s="198"/>
      <c r="D2331" s="332" t="s">
        <v>3036</v>
      </c>
      <c r="E2331" s="198" t="s">
        <v>309</v>
      </c>
      <c r="F2331" s="281">
        <v>1</v>
      </c>
      <c r="G2331" s="229"/>
      <c r="H2331" s="230"/>
    </row>
    <row r="2332" spans="2:8" ht="38.25">
      <c r="B2332" s="129" t="s">
        <v>3037</v>
      </c>
      <c r="C2332" s="198"/>
      <c r="D2332" s="332" t="s">
        <v>3038</v>
      </c>
      <c r="E2332" s="198" t="s">
        <v>99</v>
      </c>
      <c r="F2332" s="281">
        <v>10</v>
      </c>
      <c r="G2332" s="229"/>
      <c r="H2332" s="230"/>
    </row>
    <row r="2333" spans="2:8">
      <c r="B2333" s="129" t="s">
        <v>3039</v>
      </c>
      <c r="C2333" s="198"/>
      <c r="D2333" s="332" t="s">
        <v>3040</v>
      </c>
      <c r="E2333" s="198" t="s">
        <v>99</v>
      </c>
      <c r="F2333" s="281">
        <v>2</v>
      </c>
      <c r="G2333" s="229"/>
      <c r="H2333" s="230"/>
    </row>
    <row r="2334" spans="2:8">
      <c r="B2334" s="129" t="s">
        <v>3041</v>
      </c>
      <c r="C2334" s="198"/>
      <c r="D2334" s="332" t="s">
        <v>3042</v>
      </c>
      <c r="E2334" s="198" t="s">
        <v>99</v>
      </c>
      <c r="F2334" s="281">
        <v>2</v>
      </c>
      <c r="G2334" s="229"/>
      <c r="H2334" s="230"/>
    </row>
    <row r="2335" spans="2:8">
      <c r="B2335" s="129" t="s">
        <v>3043</v>
      </c>
      <c r="C2335" s="198"/>
      <c r="D2335" s="332" t="s">
        <v>3044</v>
      </c>
      <c r="E2335" s="198" t="s">
        <v>99</v>
      </c>
      <c r="F2335" s="281">
        <v>2</v>
      </c>
      <c r="G2335" s="229"/>
      <c r="H2335" s="230"/>
    </row>
    <row r="2336" spans="2:8" ht="39" thickBot="1">
      <c r="B2336" s="129" t="s">
        <v>3045</v>
      </c>
      <c r="C2336" s="198"/>
      <c r="D2336" s="332" t="s">
        <v>3046</v>
      </c>
      <c r="E2336" s="198" t="s">
        <v>309</v>
      </c>
      <c r="F2336" s="281">
        <v>1</v>
      </c>
      <c r="G2336" s="229"/>
      <c r="H2336" s="230"/>
    </row>
    <row r="2337" spans="2:8" ht="16.5" thickBot="1">
      <c r="B2337" s="479" t="s">
        <v>3047</v>
      </c>
      <c r="C2337" s="480" t="s">
        <v>3048</v>
      </c>
      <c r="D2337" s="481" t="s">
        <v>3049</v>
      </c>
      <c r="E2337" s="482"/>
      <c r="F2337" s="483"/>
      <c r="G2337" s="493"/>
      <c r="H2337" s="280"/>
    </row>
    <row r="2338" spans="2:8" ht="15">
      <c r="B2338" s="486" t="s">
        <v>3050</v>
      </c>
      <c r="C2338" s="487"/>
      <c r="D2338" s="488" t="s">
        <v>3051</v>
      </c>
      <c r="E2338" s="489"/>
      <c r="F2338" s="490"/>
      <c r="G2338" s="491"/>
      <c r="H2338" s="492"/>
    </row>
    <row r="2339" spans="2:8">
      <c r="B2339" s="129"/>
      <c r="C2339" s="198"/>
      <c r="D2339" s="516" t="s">
        <v>3052</v>
      </c>
      <c r="E2339" s="393"/>
      <c r="F2339" s="394"/>
      <c r="G2339" s="229"/>
      <c r="H2339" s="244"/>
    </row>
    <row r="2340" spans="2:8" ht="14.25">
      <c r="B2340" s="129" t="s">
        <v>3053</v>
      </c>
      <c r="C2340" s="368"/>
      <c r="D2340" s="383" t="s">
        <v>3054</v>
      </c>
      <c r="E2340" s="195"/>
      <c r="F2340" s="196"/>
      <c r="G2340" s="274"/>
      <c r="H2340" s="275"/>
    </row>
    <row r="2341" spans="2:8" ht="14.25">
      <c r="B2341" s="129" t="s">
        <v>3055</v>
      </c>
      <c r="C2341" s="368"/>
      <c r="D2341" s="184" t="s">
        <v>3056</v>
      </c>
      <c r="E2341" s="195" t="s">
        <v>3057</v>
      </c>
      <c r="F2341" s="196">
        <v>1290</v>
      </c>
      <c r="G2341" s="274"/>
      <c r="H2341" s="275"/>
    </row>
    <row r="2342" spans="2:8" ht="14.25">
      <c r="B2342" s="129" t="s">
        <v>3058</v>
      </c>
      <c r="C2342" s="368"/>
      <c r="D2342" s="184" t="s">
        <v>3059</v>
      </c>
      <c r="E2342" s="195" t="s">
        <v>3057</v>
      </c>
      <c r="F2342" s="196">
        <v>430</v>
      </c>
      <c r="G2342" s="274"/>
      <c r="H2342" s="275"/>
    </row>
    <row r="2343" spans="2:8" ht="14.25">
      <c r="B2343" s="129" t="s">
        <v>3060</v>
      </c>
      <c r="C2343" s="368"/>
      <c r="D2343" s="383" t="s">
        <v>3061</v>
      </c>
      <c r="E2343" s="195"/>
      <c r="F2343" s="196"/>
      <c r="G2343" s="274"/>
      <c r="H2343" s="275"/>
    </row>
    <row r="2344" spans="2:8" ht="14.25">
      <c r="B2344" s="129" t="s">
        <v>3062</v>
      </c>
      <c r="C2344" s="368"/>
      <c r="D2344" s="184" t="s">
        <v>3063</v>
      </c>
      <c r="E2344" s="195" t="s">
        <v>3064</v>
      </c>
      <c r="F2344" s="196">
        <v>10</v>
      </c>
      <c r="G2344" s="274"/>
      <c r="H2344" s="275"/>
    </row>
    <row r="2345" spans="2:8" ht="14.25">
      <c r="B2345" s="129" t="s">
        <v>3065</v>
      </c>
      <c r="C2345" s="368"/>
      <c r="D2345" s="184" t="s">
        <v>3066</v>
      </c>
      <c r="E2345" s="195" t="s">
        <v>3064</v>
      </c>
      <c r="F2345" s="196">
        <v>5</v>
      </c>
      <c r="G2345" s="274"/>
      <c r="H2345" s="275"/>
    </row>
    <row r="2346" spans="2:8" ht="14.25">
      <c r="B2346" s="129" t="s">
        <v>3067</v>
      </c>
      <c r="C2346" s="368"/>
      <c r="D2346" s="383" t="s">
        <v>3068</v>
      </c>
      <c r="E2346" s="195"/>
      <c r="F2346" s="196"/>
      <c r="G2346" s="274"/>
      <c r="H2346" s="275"/>
    </row>
    <row r="2347" spans="2:8" ht="63.75">
      <c r="B2347" s="129" t="s">
        <v>3069</v>
      </c>
      <c r="C2347" s="368"/>
      <c r="D2347" s="184" t="s">
        <v>3070</v>
      </c>
      <c r="E2347" s="195" t="s">
        <v>309</v>
      </c>
      <c r="F2347" s="196">
        <v>11</v>
      </c>
      <c r="G2347" s="274"/>
      <c r="H2347" s="275"/>
    </row>
    <row r="2348" spans="2:8" ht="63.75">
      <c r="B2348" s="129" t="s">
        <v>3071</v>
      </c>
      <c r="C2348" s="368"/>
      <c r="D2348" s="184" t="s">
        <v>3072</v>
      </c>
      <c r="E2348" s="195" t="s">
        <v>309</v>
      </c>
      <c r="F2348" s="196">
        <v>1</v>
      </c>
      <c r="G2348" s="274"/>
      <c r="H2348" s="275"/>
    </row>
    <row r="2349" spans="2:8" ht="51">
      <c r="B2349" s="129" t="s">
        <v>3073</v>
      </c>
      <c r="C2349" s="368"/>
      <c r="D2349" s="184" t="s">
        <v>3074</v>
      </c>
      <c r="E2349" s="195" t="s">
        <v>309</v>
      </c>
      <c r="F2349" s="196">
        <v>2</v>
      </c>
      <c r="G2349" s="274"/>
      <c r="H2349" s="275"/>
    </row>
    <row r="2350" spans="2:8" ht="51">
      <c r="B2350" s="129" t="s">
        <v>3075</v>
      </c>
      <c r="C2350" s="368"/>
      <c r="D2350" s="184" t="s">
        <v>3076</v>
      </c>
      <c r="E2350" s="195" t="s">
        <v>309</v>
      </c>
      <c r="F2350" s="196">
        <v>1</v>
      </c>
      <c r="G2350" s="274"/>
      <c r="H2350" s="275"/>
    </row>
    <row r="2351" spans="2:8" ht="51">
      <c r="B2351" s="129" t="s">
        <v>3077</v>
      </c>
      <c r="C2351" s="368"/>
      <c r="D2351" s="184" t="s">
        <v>3078</v>
      </c>
      <c r="E2351" s="195" t="s">
        <v>309</v>
      </c>
      <c r="F2351" s="196">
        <v>1</v>
      </c>
      <c r="G2351" s="274"/>
      <c r="H2351" s="275"/>
    </row>
    <row r="2352" spans="2:8" ht="51">
      <c r="B2352" s="129" t="s">
        <v>3079</v>
      </c>
      <c r="C2352" s="368"/>
      <c r="D2352" s="184" t="s">
        <v>3080</v>
      </c>
      <c r="E2352" s="195" t="s">
        <v>309</v>
      </c>
      <c r="F2352" s="196">
        <v>2</v>
      </c>
      <c r="G2352" s="274"/>
      <c r="H2352" s="275"/>
    </row>
    <row r="2353" spans="2:8" ht="51">
      <c r="B2353" s="129" t="s">
        <v>3081</v>
      </c>
      <c r="C2353" s="368"/>
      <c r="D2353" s="182" t="s">
        <v>3082</v>
      </c>
      <c r="E2353" s="195" t="s">
        <v>309</v>
      </c>
      <c r="F2353" s="196">
        <v>1</v>
      </c>
      <c r="G2353" s="274"/>
      <c r="H2353" s="275"/>
    </row>
    <row r="2354" spans="2:8" ht="63.75">
      <c r="B2354" s="129" t="s">
        <v>3083</v>
      </c>
      <c r="C2354" s="368"/>
      <c r="D2354" s="184" t="s">
        <v>3084</v>
      </c>
      <c r="E2354" s="195" t="s">
        <v>452</v>
      </c>
      <c r="F2354" s="196">
        <v>1</v>
      </c>
      <c r="G2354" s="274"/>
      <c r="H2354" s="275"/>
    </row>
    <row r="2355" spans="2:8" ht="14.25">
      <c r="B2355" s="129" t="s">
        <v>3085</v>
      </c>
      <c r="C2355" s="368"/>
      <c r="D2355" s="383" t="s">
        <v>3086</v>
      </c>
      <c r="E2355" s="195"/>
      <c r="F2355" s="196"/>
      <c r="G2355" s="274"/>
      <c r="H2355" s="275"/>
    </row>
    <row r="2356" spans="2:8" ht="14.25">
      <c r="B2356" s="129" t="s">
        <v>3087</v>
      </c>
      <c r="C2356" s="368"/>
      <c r="D2356" s="184" t="s">
        <v>3088</v>
      </c>
      <c r="E2356" s="195" t="s">
        <v>3064</v>
      </c>
      <c r="F2356" s="196">
        <v>51</v>
      </c>
      <c r="G2356" s="274"/>
      <c r="H2356" s="275"/>
    </row>
    <row r="2357" spans="2:8" ht="14.25">
      <c r="B2357" s="129" t="s">
        <v>3089</v>
      </c>
      <c r="C2357" s="368"/>
      <c r="D2357" s="184" t="s">
        <v>3090</v>
      </c>
      <c r="E2357" s="195" t="s">
        <v>3064</v>
      </c>
      <c r="F2357" s="196">
        <v>11</v>
      </c>
      <c r="G2357" s="274"/>
      <c r="H2357" s="275"/>
    </row>
    <row r="2358" spans="2:8" ht="14.25">
      <c r="B2358" s="129" t="s">
        <v>3091</v>
      </c>
      <c r="C2358" s="368"/>
      <c r="D2358" s="184" t="s">
        <v>3092</v>
      </c>
      <c r="E2358" s="195" t="s">
        <v>3064</v>
      </c>
      <c r="F2358" s="196">
        <v>7</v>
      </c>
      <c r="G2358" s="274"/>
      <c r="H2358" s="275"/>
    </row>
    <row r="2359" spans="2:8" ht="14.25">
      <c r="B2359" s="129" t="s">
        <v>3093</v>
      </c>
      <c r="C2359" s="368"/>
      <c r="D2359" s="184" t="s">
        <v>3094</v>
      </c>
      <c r="E2359" s="195" t="s">
        <v>3064</v>
      </c>
      <c r="F2359" s="196">
        <v>6</v>
      </c>
      <c r="G2359" s="274"/>
      <c r="H2359" s="275"/>
    </row>
    <row r="2360" spans="2:8" ht="14.25">
      <c r="B2360" s="129" t="s">
        <v>3095</v>
      </c>
      <c r="C2360" s="368"/>
      <c r="D2360" s="383" t="s">
        <v>3096</v>
      </c>
      <c r="E2360" s="195"/>
      <c r="F2360" s="196"/>
      <c r="G2360" s="274"/>
      <c r="H2360" s="275"/>
    </row>
    <row r="2361" spans="2:8" ht="25.5">
      <c r="B2361" s="129" t="s">
        <v>3097</v>
      </c>
      <c r="C2361" s="368"/>
      <c r="D2361" s="184" t="s">
        <v>3098</v>
      </c>
      <c r="E2361" s="195" t="s">
        <v>3064</v>
      </c>
      <c r="F2361" s="196">
        <v>5</v>
      </c>
      <c r="G2361" s="274"/>
      <c r="H2361" s="275"/>
    </row>
    <row r="2362" spans="2:8" ht="25.5">
      <c r="B2362" s="129" t="s">
        <v>3099</v>
      </c>
      <c r="C2362" s="368"/>
      <c r="D2362" s="184" t="s">
        <v>3100</v>
      </c>
      <c r="E2362" s="195" t="s">
        <v>3064</v>
      </c>
      <c r="F2362" s="196">
        <v>10</v>
      </c>
      <c r="G2362" s="274"/>
      <c r="H2362" s="275"/>
    </row>
    <row r="2363" spans="2:8" ht="25.5">
      <c r="B2363" s="129" t="s">
        <v>3101</v>
      </c>
      <c r="C2363" s="368"/>
      <c r="D2363" s="184" t="s">
        <v>3102</v>
      </c>
      <c r="E2363" s="195" t="s">
        <v>3057</v>
      </c>
      <c r="F2363" s="196">
        <v>430</v>
      </c>
      <c r="G2363" s="274"/>
      <c r="H2363" s="275"/>
    </row>
    <row r="2364" spans="2:8" ht="25.5">
      <c r="B2364" s="129" t="s">
        <v>3103</v>
      </c>
      <c r="C2364" s="368"/>
      <c r="D2364" s="184" t="s">
        <v>3104</v>
      </c>
      <c r="E2364" s="195" t="s">
        <v>3057</v>
      </c>
      <c r="F2364" s="196">
        <v>1290</v>
      </c>
      <c r="G2364" s="274"/>
      <c r="H2364" s="275"/>
    </row>
    <row r="2365" spans="2:8" ht="25.5">
      <c r="B2365" s="129" t="s">
        <v>3105</v>
      </c>
      <c r="C2365" s="368"/>
      <c r="D2365" s="184" t="s">
        <v>3106</v>
      </c>
      <c r="E2365" s="195" t="s">
        <v>3064</v>
      </c>
      <c r="F2365" s="196">
        <v>1</v>
      </c>
      <c r="G2365" s="274"/>
      <c r="H2365" s="275"/>
    </row>
    <row r="2366" spans="2:8" ht="25.5">
      <c r="B2366" s="129" t="s">
        <v>3107</v>
      </c>
      <c r="C2366" s="368"/>
      <c r="D2366" s="184" t="s">
        <v>3108</v>
      </c>
      <c r="E2366" s="195" t="s">
        <v>3064</v>
      </c>
      <c r="F2366" s="196">
        <v>11</v>
      </c>
      <c r="G2366" s="274"/>
      <c r="H2366" s="275"/>
    </row>
    <row r="2367" spans="2:8" ht="25.5">
      <c r="B2367" s="129" t="s">
        <v>3109</v>
      </c>
      <c r="C2367" s="368"/>
      <c r="D2367" s="184" t="s">
        <v>3110</v>
      </c>
      <c r="E2367" s="195" t="s">
        <v>3064</v>
      </c>
      <c r="F2367" s="196">
        <v>2</v>
      </c>
      <c r="G2367" s="274"/>
      <c r="H2367" s="275"/>
    </row>
    <row r="2368" spans="2:8" ht="14.25">
      <c r="B2368" s="129" t="s">
        <v>3111</v>
      </c>
      <c r="C2368" s="368"/>
      <c r="D2368" s="184" t="s">
        <v>3112</v>
      </c>
      <c r="E2368" s="195" t="s">
        <v>3064</v>
      </c>
      <c r="F2368" s="196">
        <v>2</v>
      </c>
      <c r="G2368" s="274"/>
      <c r="H2368" s="275"/>
    </row>
    <row r="2369" spans="2:8" ht="14.25">
      <c r="B2369" s="129" t="s">
        <v>3113</v>
      </c>
      <c r="C2369" s="368"/>
      <c r="D2369" s="184" t="s">
        <v>3114</v>
      </c>
      <c r="E2369" s="195" t="s">
        <v>3064</v>
      </c>
      <c r="F2369" s="196">
        <v>1</v>
      </c>
      <c r="G2369" s="274"/>
      <c r="H2369" s="275"/>
    </row>
    <row r="2370" spans="2:8" ht="14.25">
      <c r="B2370" s="129" t="s">
        <v>3115</v>
      </c>
      <c r="C2370" s="368"/>
      <c r="D2370" s="184" t="s">
        <v>3116</v>
      </c>
      <c r="E2370" s="195" t="s">
        <v>3064</v>
      </c>
      <c r="F2370" s="196">
        <v>1</v>
      </c>
      <c r="G2370" s="274"/>
      <c r="H2370" s="275"/>
    </row>
    <row r="2371" spans="2:8" ht="14.25">
      <c r="B2371" s="129" t="s">
        <v>3117</v>
      </c>
      <c r="C2371" s="368"/>
      <c r="D2371" s="184" t="s">
        <v>3118</v>
      </c>
      <c r="E2371" s="195" t="s">
        <v>3064</v>
      </c>
      <c r="F2371" s="196">
        <v>2</v>
      </c>
      <c r="G2371" s="274"/>
      <c r="H2371" s="275"/>
    </row>
    <row r="2372" spans="2:8" ht="25.5">
      <c r="B2372" s="129" t="s">
        <v>3119</v>
      </c>
      <c r="C2372" s="368"/>
      <c r="D2372" s="184" t="s">
        <v>3120</v>
      </c>
      <c r="E2372" s="195" t="s">
        <v>3064</v>
      </c>
      <c r="F2372" s="196">
        <v>38</v>
      </c>
      <c r="G2372" s="274"/>
      <c r="H2372" s="275"/>
    </row>
    <row r="2373" spans="2:8" ht="38.25">
      <c r="B2373" s="129" t="s">
        <v>3121</v>
      </c>
      <c r="C2373" s="368"/>
      <c r="D2373" s="184" t="s">
        <v>3122</v>
      </c>
      <c r="E2373" s="195" t="s">
        <v>3064</v>
      </c>
      <c r="F2373" s="196">
        <v>1</v>
      </c>
      <c r="G2373" s="274"/>
      <c r="H2373" s="275"/>
    </row>
    <row r="2374" spans="2:8">
      <c r="B2374" s="129"/>
      <c r="C2374" s="198"/>
      <c r="D2374" s="516" t="s">
        <v>3123</v>
      </c>
      <c r="E2374" s="393"/>
      <c r="F2374" s="394"/>
      <c r="G2374" s="229"/>
      <c r="H2374" s="244"/>
    </row>
    <row r="2375" spans="2:8" ht="14.25">
      <c r="B2375" s="129" t="s">
        <v>3124</v>
      </c>
      <c r="C2375" s="368"/>
      <c r="D2375" s="383" t="s">
        <v>3054</v>
      </c>
      <c r="E2375" s="195"/>
      <c r="F2375" s="196"/>
      <c r="G2375" s="274"/>
      <c r="H2375" s="275"/>
    </row>
    <row r="2376" spans="2:8" ht="14.25">
      <c r="B2376" s="129" t="s">
        <v>3125</v>
      </c>
      <c r="C2376" s="368"/>
      <c r="D2376" s="184" t="s">
        <v>3126</v>
      </c>
      <c r="E2376" s="195" t="s">
        <v>3057</v>
      </c>
      <c r="F2376" s="196">
        <v>15</v>
      </c>
      <c r="G2376" s="274"/>
      <c r="H2376" s="275"/>
    </row>
    <row r="2377" spans="2:8" ht="14.25">
      <c r="B2377" s="129" t="s">
        <v>3127</v>
      </c>
      <c r="C2377" s="368"/>
      <c r="D2377" s="184" t="s">
        <v>3128</v>
      </c>
      <c r="E2377" s="195" t="s">
        <v>3057</v>
      </c>
      <c r="F2377" s="196">
        <v>99</v>
      </c>
      <c r="G2377" s="274"/>
      <c r="H2377" s="275"/>
    </row>
    <row r="2378" spans="2:8" ht="14.25">
      <c r="B2378" s="129" t="s">
        <v>3129</v>
      </c>
      <c r="C2378" s="368"/>
      <c r="D2378" s="383" t="s">
        <v>3130</v>
      </c>
      <c r="E2378" s="195"/>
      <c r="F2378" s="196"/>
      <c r="G2378" s="274"/>
      <c r="H2378" s="275"/>
    </row>
    <row r="2379" spans="2:8" ht="14.25">
      <c r="B2379" s="129" t="s">
        <v>3131</v>
      </c>
      <c r="C2379" s="368"/>
      <c r="D2379" s="184" t="s">
        <v>3132</v>
      </c>
      <c r="E2379" s="195" t="s">
        <v>69</v>
      </c>
      <c r="F2379" s="196">
        <v>2</v>
      </c>
      <c r="G2379" s="274"/>
      <c r="H2379" s="275"/>
    </row>
    <row r="2380" spans="2:8" ht="14.25">
      <c r="B2380" s="129" t="s">
        <v>3133</v>
      </c>
      <c r="C2380" s="368"/>
      <c r="D2380" s="184" t="s">
        <v>3134</v>
      </c>
      <c r="E2380" s="195" t="s">
        <v>3057</v>
      </c>
      <c r="F2380" s="196">
        <v>99</v>
      </c>
      <c r="G2380" s="274"/>
      <c r="H2380" s="275"/>
    </row>
    <row r="2381" spans="2:8" ht="14.25">
      <c r="B2381" s="129" t="s">
        <v>3135</v>
      </c>
      <c r="C2381" s="368"/>
      <c r="D2381" s="184" t="s">
        <v>3136</v>
      </c>
      <c r="E2381" s="195" t="s">
        <v>3137</v>
      </c>
      <c r="F2381" s="196">
        <v>3</v>
      </c>
      <c r="G2381" s="274"/>
      <c r="H2381" s="275"/>
    </row>
    <row r="2382" spans="2:8" ht="25.5">
      <c r="B2382" s="129" t="s">
        <v>3138</v>
      </c>
      <c r="C2382" s="368"/>
      <c r="D2382" s="184" t="s">
        <v>3139</v>
      </c>
      <c r="E2382" s="195" t="s">
        <v>3057</v>
      </c>
      <c r="F2382" s="196">
        <v>33</v>
      </c>
      <c r="G2382" s="274"/>
      <c r="H2382" s="275"/>
    </row>
    <row r="2383" spans="2:8" ht="14.25">
      <c r="B2383" s="129" t="s">
        <v>3140</v>
      </c>
      <c r="C2383" s="368"/>
      <c r="D2383" s="184" t="s">
        <v>3141</v>
      </c>
      <c r="E2383" s="195" t="s">
        <v>452</v>
      </c>
      <c r="F2383" s="196">
        <v>1</v>
      </c>
      <c r="G2383" s="274"/>
      <c r="H2383" s="275"/>
    </row>
    <row r="2384" spans="2:8" ht="14.25">
      <c r="B2384" s="129" t="s">
        <v>3142</v>
      </c>
      <c r="C2384" s="368"/>
      <c r="D2384" s="184" t="s">
        <v>3143</v>
      </c>
      <c r="E2384" s="195" t="s">
        <v>452</v>
      </c>
      <c r="F2384" s="196">
        <v>1</v>
      </c>
      <c r="G2384" s="274"/>
      <c r="H2384" s="275"/>
    </row>
    <row r="2385" spans="2:8" ht="14.25">
      <c r="B2385" s="129" t="s">
        <v>3144</v>
      </c>
      <c r="C2385" s="368"/>
      <c r="D2385" s="383" t="s">
        <v>3096</v>
      </c>
      <c r="E2385" s="195"/>
      <c r="F2385" s="196"/>
      <c r="G2385" s="274"/>
      <c r="H2385" s="275"/>
    </row>
    <row r="2386" spans="2:8" ht="25.5">
      <c r="B2386" s="129" t="s">
        <v>3145</v>
      </c>
      <c r="C2386" s="368"/>
      <c r="D2386" s="184" t="s">
        <v>3146</v>
      </c>
      <c r="E2386" s="195" t="s">
        <v>3057</v>
      </c>
      <c r="F2386" s="196">
        <v>21</v>
      </c>
      <c r="G2386" s="274"/>
      <c r="H2386" s="275"/>
    </row>
    <row r="2387" spans="2:8" ht="25.5">
      <c r="B2387" s="129" t="s">
        <v>3147</v>
      </c>
      <c r="C2387" s="368"/>
      <c r="D2387" s="184" t="s">
        <v>3148</v>
      </c>
      <c r="E2387" s="195" t="s">
        <v>3057</v>
      </c>
      <c r="F2387" s="196">
        <v>12</v>
      </c>
      <c r="G2387" s="274"/>
      <c r="H2387" s="275"/>
    </row>
    <row r="2388" spans="2:8" ht="14.25">
      <c r="B2388" s="129" t="s">
        <v>3149</v>
      </c>
      <c r="C2388" s="368"/>
      <c r="D2388" s="184" t="s">
        <v>3150</v>
      </c>
      <c r="E2388" s="195" t="s">
        <v>3137</v>
      </c>
      <c r="F2388" s="196">
        <v>15</v>
      </c>
      <c r="G2388" s="274"/>
      <c r="H2388" s="275"/>
    </row>
    <row r="2389" spans="2:8" ht="25.5">
      <c r="B2389" s="129" t="s">
        <v>3151</v>
      </c>
      <c r="C2389" s="368"/>
      <c r="D2389" s="184" t="s">
        <v>3152</v>
      </c>
      <c r="E2389" s="195" t="s">
        <v>3057</v>
      </c>
      <c r="F2389" s="196">
        <v>33</v>
      </c>
      <c r="G2389" s="274"/>
      <c r="H2389" s="275"/>
    </row>
    <row r="2390" spans="2:8" ht="14.25">
      <c r="B2390" s="129" t="s">
        <v>3153</v>
      </c>
      <c r="C2390" s="368"/>
      <c r="D2390" s="184" t="s">
        <v>3154</v>
      </c>
      <c r="E2390" s="195" t="s">
        <v>3057</v>
      </c>
      <c r="F2390" s="196">
        <v>99</v>
      </c>
      <c r="G2390" s="274"/>
      <c r="H2390" s="275"/>
    </row>
    <row r="2391" spans="2:8" ht="63.75">
      <c r="B2391" s="129" t="s">
        <v>3155</v>
      </c>
      <c r="C2391" s="368"/>
      <c r="D2391" s="184" t="s">
        <v>3156</v>
      </c>
      <c r="E2391" s="195" t="s">
        <v>3064</v>
      </c>
      <c r="F2391" s="196">
        <v>1</v>
      </c>
      <c r="G2391" s="274"/>
      <c r="H2391" s="275"/>
    </row>
    <row r="2392" spans="2:8" ht="14.25">
      <c r="B2392" s="129" t="s">
        <v>3157</v>
      </c>
      <c r="C2392" s="368"/>
      <c r="D2392" s="184" t="s">
        <v>3158</v>
      </c>
      <c r="E2392" s="195" t="s">
        <v>452</v>
      </c>
      <c r="F2392" s="196">
        <v>1</v>
      </c>
      <c r="G2392" s="274"/>
      <c r="H2392" s="275"/>
    </row>
    <row r="2393" spans="2:8" ht="14.25">
      <c r="B2393" s="129" t="s">
        <v>3159</v>
      </c>
      <c r="C2393" s="368"/>
      <c r="D2393" s="184" t="s">
        <v>3160</v>
      </c>
      <c r="E2393" s="195" t="s">
        <v>452</v>
      </c>
      <c r="F2393" s="196">
        <v>1</v>
      </c>
      <c r="G2393" s="274"/>
      <c r="H2393" s="275"/>
    </row>
    <row r="2394" spans="2:8">
      <c r="B2394" s="129"/>
      <c r="C2394" s="198"/>
      <c r="D2394" s="516" t="s">
        <v>3161</v>
      </c>
      <c r="E2394" s="393"/>
      <c r="F2394" s="394"/>
      <c r="G2394" s="229"/>
      <c r="H2394" s="244"/>
    </row>
    <row r="2395" spans="2:8" ht="14.25">
      <c r="B2395" s="129" t="s">
        <v>3162</v>
      </c>
      <c r="C2395" s="368"/>
      <c r="D2395" s="383" t="s">
        <v>3163</v>
      </c>
      <c r="E2395" s="195"/>
      <c r="F2395" s="196"/>
      <c r="G2395" s="274"/>
      <c r="H2395" s="275"/>
    </row>
    <row r="2396" spans="2:8" ht="38.25">
      <c r="B2396" s="129" t="s">
        <v>3164</v>
      </c>
      <c r="C2396" s="368"/>
      <c r="D2396" s="184" t="s">
        <v>3165</v>
      </c>
      <c r="E2396" s="195" t="s">
        <v>452</v>
      </c>
      <c r="F2396" s="196">
        <v>1</v>
      </c>
      <c r="G2396" s="274"/>
      <c r="H2396" s="275"/>
    </row>
    <row r="2397" spans="2:8" ht="14.25">
      <c r="B2397" s="129" t="s">
        <v>3166</v>
      </c>
      <c r="C2397" s="368"/>
      <c r="D2397" s="383" t="s">
        <v>3167</v>
      </c>
      <c r="E2397" s="195"/>
      <c r="F2397" s="196"/>
      <c r="G2397" s="274"/>
      <c r="H2397" s="275"/>
    </row>
    <row r="2398" spans="2:8" ht="25.5">
      <c r="B2398" s="129" t="s">
        <v>3168</v>
      </c>
      <c r="C2398" s="368"/>
      <c r="D2398" s="184" t="s">
        <v>3169</v>
      </c>
      <c r="E2398" s="195" t="s">
        <v>452</v>
      </c>
      <c r="F2398" s="196">
        <v>1</v>
      </c>
      <c r="G2398" s="274"/>
      <c r="H2398" s="275"/>
    </row>
    <row r="2399" spans="2:8" ht="15">
      <c r="B2399" s="186" t="s">
        <v>3170</v>
      </c>
      <c r="C2399" s="312"/>
      <c r="D2399" s="313" t="s">
        <v>3171</v>
      </c>
      <c r="E2399" s="314"/>
      <c r="F2399" s="283"/>
      <c r="G2399" s="233"/>
      <c r="H2399" s="234"/>
    </row>
    <row r="2400" spans="2:8" ht="15.75">
      <c r="B2400" s="129"/>
      <c r="C2400" s="368"/>
      <c r="D2400" s="517" t="s">
        <v>3172</v>
      </c>
      <c r="E2400" s="189"/>
      <c r="F2400" s="384"/>
      <c r="G2400" s="274"/>
      <c r="H2400" s="275"/>
    </row>
    <row r="2401" spans="2:8" ht="14.25">
      <c r="B2401" s="129" t="s">
        <v>3173</v>
      </c>
      <c r="C2401" s="368"/>
      <c r="D2401" s="383" t="s">
        <v>3174</v>
      </c>
      <c r="E2401" s="189"/>
      <c r="F2401" s="384"/>
      <c r="G2401" s="274"/>
      <c r="H2401" s="275"/>
    </row>
    <row r="2402" spans="2:8" ht="38.25">
      <c r="B2402" s="129" t="s">
        <v>3175</v>
      </c>
      <c r="C2402" s="368"/>
      <c r="D2402" s="385" t="s">
        <v>3176</v>
      </c>
      <c r="E2402" s="189" t="s">
        <v>309</v>
      </c>
      <c r="F2402" s="384">
        <v>1</v>
      </c>
      <c r="G2402" s="274"/>
      <c r="H2402" s="275"/>
    </row>
    <row r="2403" spans="2:8" ht="14.25">
      <c r="B2403" s="129" t="s">
        <v>3177</v>
      </c>
      <c r="C2403" s="368"/>
      <c r="D2403" s="383" t="s">
        <v>3178</v>
      </c>
      <c r="E2403" s="189"/>
      <c r="F2403" s="384"/>
      <c r="G2403" s="274"/>
      <c r="H2403" s="275"/>
    </row>
    <row r="2404" spans="2:8" ht="51">
      <c r="B2404" s="129" t="s">
        <v>3179</v>
      </c>
      <c r="C2404" s="368"/>
      <c r="D2404" s="385" t="s">
        <v>3180</v>
      </c>
      <c r="E2404" s="189" t="s">
        <v>309</v>
      </c>
      <c r="F2404" s="384">
        <v>1</v>
      </c>
      <c r="G2404" s="274"/>
      <c r="H2404" s="275"/>
    </row>
    <row r="2405" spans="2:8" ht="25.5">
      <c r="B2405" s="129" t="s">
        <v>3181</v>
      </c>
      <c r="C2405" s="368"/>
      <c r="D2405" s="385" t="s">
        <v>3182</v>
      </c>
      <c r="E2405" s="189" t="s">
        <v>3057</v>
      </c>
      <c r="F2405" s="384">
        <v>240</v>
      </c>
      <c r="G2405" s="274"/>
      <c r="H2405" s="275"/>
    </row>
    <row r="2406" spans="2:8" ht="25.5">
      <c r="B2406" s="129" t="s">
        <v>3183</v>
      </c>
      <c r="C2406" s="368"/>
      <c r="D2406" s="385" t="s">
        <v>3184</v>
      </c>
      <c r="E2406" s="189" t="s">
        <v>3064</v>
      </c>
      <c r="F2406" s="384">
        <v>70</v>
      </c>
      <c r="G2406" s="274"/>
      <c r="H2406" s="275"/>
    </row>
    <row r="2407" spans="2:8" ht="15">
      <c r="B2407" s="186" t="s">
        <v>3185</v>
      </c>
      <c r="C2407" s="312"/>
      <c r="D2407" s="313" t="s">
        <v>3186</v>
      </c>
      <c r="E2407" s="314"/>
      <c r="F2407" s="283"/>
      <c r="G2407" s="233"/>
      <c r="H2407" s="234"/>
    </row>
    <row r="2408" spans="2:8" ht="14.25">
      <c r="B2408" s="129" t="s">
        <v>3187</v>
      </c>
      <c r="C2408" s="368"/>
      <c r="D2408" s="395" t="s">
        <v>3188</v>
      </c>
      <c r="E2408" s="189"/>
      <c r="F2408" s="384"/>
      <c r="G2408" s="274"/>
      <c r="H2408" s="275"/>
    </row>
    <row r="2409" spans="2:8" ht="25.5">
      <c r="B2409" s="129" t="s">
        <v>3189</v>
      </c>
      <c r="C2409" s="368"/>
      <c r="D2409" s="385" t="s">
        <v>3190</v>
      </c>
      <c r="E2409" s="189" t="s">
        <v>3064</v>
      </c>
      <c r="F2409" s="384">
        <v>1</v>
      </c>
      <c r="G2409" s="274"/>
      <c r="H2409" s="275"/>
    </row>
    <row r="2410" spans="2:8" ht="38.25">
      <c r="B2410" s="129" t="s">
        <v>3191</v>
      </c>
      <c r="C2410" s="368"/>
      <c r="D2410" s="385" t="s">
        <v>3192</v>
      </c>
      <c r="E2410" s="189" t="s">
        <v>3064</v>
      </c>
      <c r="F2410" s="384">
        <v>1</v>
      </c>
      <c r="G2410" s="274"/>
      <c r="H2410" s="275"/>
    </row>
    <row r="2411" spans="2:8" ht="14.25">
      <c r="B2411" s="129" t="s">
        <v>3193</v>
      </c>
      <c r="C2411" s="368"/>
      <c r="D2411" s="315" t="s">
        <v>3194</v>
      </c>
      <c r="E2411" s="189" t="s">
        <v>3057</v>
      </c>
      <c r="F2411" s="384">
        <v>30</v>
      </c>
      <c r="G2411" s="274"/>
      <c r="H2411" s="275"/>
    </row>
    <row r="2412" spans="2:8" ht="25.5">
      <c r="B2412" s="129" t="s">
        <v>3195</v>
      </c>
      <c r="C2412" s="368"/>
      <c r="D2412" s="315" t="s">
        <v>3196</v>
      </c>
      <c r="E2412" s="189" t="s">
        <v>3057</v>
      </c>
      <c r="F2412" s="384">
        <v>15</v>
      </c>
      <c r="G2412" s="274"/>
      <c r="H2412" s="275"/>
    </row>
    <row r="2413" spans="2:8" ht="25.5">
      <c r="B2413" s="129" t="s">
        <v>3197</v>
      </c>
      <c r="C2413" s="368"/>
      <c r="D2413" s="315" t="s">
        <v>3198</v>
      </c>
      <c r="E2413" s="189" t="s">
        <v>3057</v>
      </c>
      <c r="F2413" s="384">
        <v>15</v>
      </c>
      <c r="G2413" s="274"/>
      <c r="H2413" s="275"/>
    </row>
    <row r="2414" spans="2:8" ht="25.5">
      <c r="B2414" s="129" t="s">
        <v>3199</v>
      </c>
      <c r="C2414" s="368"/>
      <c r="D2414" s="315" t="s">
        <v>3200</v>
      </c>
      <c r="E2414" s="189" t="s">
        <v>3057</v>
      </c>
      <c r="F2414" s="384">
        <v>15</v>
      </c>
      <c r="G2414" s="274"/>
      <c r="H2414" s="275"/>
    </row>
    <row r="2415" spans="2:8" ht="14.25">
      <c r="B2415" s="129" t="s">
        <v>3201</v>
      </c>
      <c r="C2415" s="368"/>
      <c r="D2415" s="385" t="s">
        <v>3202</v>
      </c>
      <c r="E2415" s="189" t="s">
        <v>3064</v>
      </c>
      <c r="F2415" s="518">
        <v>1</v>
      </c>
      <c r="G2415" s="274"/>
      <c r="H2415" s="275"/>
    </row>
    <row r="2416" spans="2:8" ht="14.25">
      <c r="B2416" s="129" t="s">
        <v>3203</v>
      </c>
      <c r="C2416" s="368"/>
      <c r="D2416" s="385" t="s">
        <v>3204</v>
      </c>
      <c r="E2416" s="189" t="s">
        <v>3064</v>
      </c>
      <c r="F2416" s="518">
        <v>1</v>
      </c>
      <c r="G2416" s="274"/>
      <c r="H2416" s="275"/>
    </row>
    <row r="2417" spans="2:8" ht="14.25">
      <c r="B2417" s="129" t="s">
        <v>3205</v>
      </c>
      <c r="C2417" s="368"/>
      <c r="D2417" s="385" t="s">
        <v>3206</v>
      </c>
      <c r="E2417" s="189" t="s">
        <v>3064</v>
      </c>
      <c r="F2417" s="518">
        <v>1</v>
      </c>
      <c r="G2417" s="274"/>
      <c r="H2417" s="275"/>
    </row>
    <row r="2418" spans="2:8" ht="14.25">
      <c r="B2418" s="129" t="s">
        <v>3207</v>
      </c>
      <c r="C2418" s="368"/>
      <c r="D2418" s="385" t="s">
        <v>3208</v>
      </c>
      <c r="E2418" s="189" t="s">
        <v>3064</v>
      </c>
      <c r="F2418" s="518">
        <v>1</v>
      </c>
      <c r="G2418" s="274"/>
      <c r="H2418" s="275"/>
    </row>
    <row r="2419" spans="2:8" ht="14.25">
      <c r="B2419" s="129" t="s">
        <v>3209</v>
      </c>
      <c r="C2419" s="368"/>
      <c r="D2419" s="385" t="s">
        <v>3210</v>
      </c>
      <c r="E2419" s="189" t="s">
        <v>3064</v>
      </c>
      <c r="F2419" s="518">
        <v>1</v>
      </c>
      <c r="G2419" s="274"/>
      <c r="H2419" s="275"/>
    </row>
    <row r="2420" spans="2:8" ht="14.25">
      <c r="B2420" s="129" t="s">
        <v>3211</v>
      </c>
      <c r="C2420" s="368"/>
      <c r="D2420" s="385" t="s">
        <v>3212</v>
      </c>
      <c r="E2420" s="189" t="s">
        <v>3064</v>
      </c>
      <c r="F2420" s="518">
        <v>1</v>
      </c>
      <c r="G2420" s="274"/>
      <c r="H2420" s="275"/>
    </row>
    <row r="2421" spans="2:8" ht="14.25">
      <c r="B2421" s="129" t="s">
        <v>3213</v>
      </c>
      <c r="C2421" s="368"/>
      <c r="D2421" s="385" t="s">
        <v>3214</v>
      </c>
      <c r="E2421" s="189" t="s">
        <v>3064</v>
      </c>
      <c r="F2421" s="518">
        <v>2</v>
      </c>
      <c r="G2421" s="274"/>
      <c r="H2421" s="275"/>
    </row>
    <row r="2422" spans="2:8" ht="14.25">
      <c r="B2422" s="129" t="s">
        <v>3215</v>
      </c>
      <c r="C2422" s="368"/>
      <c r="D2422" s="385" t="s">
        <v>3216</v>
      </c>
      <c r="E2422" s="189" t="s">
        <v>3064</v>
      </c>
      <c r="F2422" s="518">
        <v>2</v>
      </c>
      <c r="G2422" s="274"/>
      <c r="H2422" s="275"/>
    </row>
    <row r="2423" spans="2:8" ht="14.25">
      <c r="B2423" s="129" t="s">
        <v>3217</v>
      </c>
      <c r="C2423" s="368"/>
      <c r="D2423" s="385" t="s">
        <v>3218</v>
      </c>
      <c r="E2423" s="189" t="s">
        <v>3064</v>
      </c>
      <c r="F2423" s="518">
        <v>2</v>
      </c>
      <c r="G2423" s="274"/>
      <c r="H2423" s="275"/>
    </row>
    <row r="2424" spans="2:8" ht="14.25">
      <c r="B2424" s="129" t="s">
        <v>3219</v>
      </c>
      <c r="C2424" s="368"/>
      <c r="D2424" s="385" t="s">
        <v>3220</v>
      </c>
      <c r="E2424" s="189" t="s">
        <v>3064</v>
      </c>
      <c r="F2424" s="518">
        <v>1</v>
      </c>
      <c r="G2424" s="274"/>
      <c r="H2424" s="275"/>
    </row>
    <row r="2425" spans="2:8" ht="14.25">
      <c r="B2425" s="129" t="s">
        <v>3221</v>
      </c>
      <c r="C2425" s="368"/>
      <c r="D2425" s="385" t="s">
        <v>3222</v>
      </c>
      <c r="E2425" s="189" t="s">
        <v>3064</v>
      </c>
      <c r="F2425" s="518">
        <v>1</v>
      </c>
      <c r="G2425" s="274"/>
      <c r="H2425" s="275"/>
    </row>
    <row r="2426" spans="2:8" ht="14.25">
      <c r="B2426" s="183" t="s">
        <v>3223</v>
      </c>
      <c r="C2426" s="519"/>
      <c r="D2426" s="520" t="s">
        <v>3224</v>
      </c>
      <c r="E2426" s="521" t="s">
        <v>3064</v>
      </c>
      <c r="F2426" s="518">
        <v>1</v>
      </c>
      <c r="G2426" s="522"/>
      <c r="H2426" s="523"/>
    </row>
    <row r="2427" spans="2:8" ht="14.25">
      <c r="B2427" s="129" t="s">
        <v>3225</v>
      </c>
      <c r="C2427" s="368"/>
      <c r="D2427" s="395" t="s">
        <v>3226</v>
      </c>
      <c r="E2427" s="189"/>
      <c r="F2427" s="384"/>
      <c r="G2427" s="274"/>
      <c r="H2427" s="275"/>
    </row>
    <row r="2428" spans="2:8" ht="14.25">
      <c r="B2428" s="129" t="s">
        <v>3227</v>
      </c>
      <c r="C2428" s="368"/>
      <c r="D2428" s="385" t="s">
        <v>3228</v>
      </c>
      <c r="E2428" s="189" t="s">
        <v>209</v>
      </c>
      <c r="F2428" s="384">
        <v>25</v>
      </c>
      <c r="G2428" s="274"/>
      <c r="H2428" s="275"/>
    </row>
    <row r="2429" spans="2:8" ht="14.25">
      <c r="B2429" s="129" t="s">
        <v>3229</v>
      </c>
      <c r="C2429" s="368"/>
      <c r="D2429" s="385" t="s">
        <v>3230</v>
      </c>
      <c r="E2429" s="189" t="s">
        <v>99</v>
      </c>
      <c r="F2429" s="384">
        <v>1</v>
      </c>
      <c r="G2429" s="274"/>
      <c r="H2429" s="275"/>
    </row>
    <row r="2430" spans="2:8" ht="14.25">
      <c r="B2430" s="129" t="s">
        <v>3231</v>
      </c>
      <c r="C2430" s="368"/>
      <c r="D2430" s="385" t="s">
        <v>3232</v>
      </c>
      <c r="E2430" s="189" t="s">
        <v>99</v>
      </c>
      <c r="F2430" s="384">
        <v>1</v>
      </c>
      <c r="G2430" s="274"/>
      <c r="H2430" s="275"/>
    </row>
    <row r="2431" spans="2:8" ht="14.25">
      <c r="B2431" s="129" t="s">
        <v>3233</v>
      </c>
      <c r="C2431" s="368"/>
      <c r="D2431" s="385" t="s">
        <v>3234</v>
      </c>
      <c r="E2431" s="189" t="s">
        <v>99</v>
      </c>
      <c r="F2431" s="384">
        <v>12</v>
      </c>
      <c r="G2431" s="274"/>
      <c r="H2431" s="275"/>
    </row>
    <row r="2432" spans="2:8" ht="14.25">
      <c r="B2432" s="129" t="s">
        <v>3235</v>
      </c>
      <c r="C2432" s="368"/>
      <c r="D2432" s="385" t="s">
        <v>3236</v>
      </c>
      <c r="E2432" s="189" t="s">
        <v>99</v>
      </c>
      <c r="F2432" s="384">
        <v>12</v>
      </c>
      <c r="G2432" s="274"/>
      <c r="H2432" s="275"/>
    </row>
    <row r="2433" spans="2:8" ht="14.25">
      <c r="B2433" s="129" t="s">
        <v>3237</v>
      </c>
      <c r="C2433" s="368"/>
      <c r="D2433" s="385" t="s">
        <v>3238</v>
      </c>
      <c r="E2433" s="189" t="s">
        <v>99</v>
      </c>
      <c r="F2433" s="384">
        <v>3</v>
      </c>
      <c r="G2433" s="274"/>
      <c r="H2433" s="275"/>
    </row>
    <row r="2434" spans="2:8" ht="14.25">
      <c r="B2434" s="129" t="s">
        <v>3239</v>
      </c>
      <c r="C2434" s="368"/>
      <c r="D2434" s="385" t="s">
        <v>3240</v>
      </c>
      <c r="E2434" s="189" t="s">
        <v>99</v>
      </c>
      <c r="F2434" s="384">
        <v>5</v>
      </c>
      <c r="G2434" s="274"/>
      <c r="H2434" s="275"/>
    </row>
    <row r="2435" spans="2:8" ht="14.25">
      <c r="B2435" s="129" t="s">
        <v>3241</v>
      </c>
      <c r="C2435" s="368"/>
      <c r="D2435" s="385" t="s">
        <v>3242</v>
      </c>
      <c r="E2435" s="189" t="s">
        <v>99</v>
      </c>
      <c r="F2435" s="384">
        <v>2</v>
      </c>
      <c r="G2435" s="274"/>
      <c r="H2435" s="275"/>
    </row>
    <row r="2436" spans="2:8" ht="14.25">
      <c r="B2436" s="129" t="s">
        <v>3243</v>
      </c>
      <c r="C2436" s="368"/>
      <c r="D2436" s="385" t="s">
        <v>3244</v>
      </c>
      <c r="E2436" s="189" t="s">
        <v>99</v>
      </c>
      <c r="F2436" s="384">
        <v>2</v>
      </c>
      <c r="G2436" s="274"/>
      <c r="H2436" s="275"/>
    </row>
    <row r="2437" spans="2:8" ht="38.25">
      <c r="B2437" s="129" t="s">
        <v>3245</v>
      </c>
      <c r="C2437" s="368"/>
      <c r="D2437" s="524" t="s">
        <v>3246</v>
      </c>
      <c r="E2437" s="189"/>
      <c r="F2437" s="384"/>
      <c r="G2437" s="274"/>
      <c r="H2437" s="275"/>
    </row>
    <row r="2438" spans="2:8" ht="38.25">
      <c r="B2438" s="129" t="s">
        <v>3247</v>
      </c>
      <c r="C2438" s="368"/>
      <c r="D2438" s="520" t="s">
        <v>3248</v>
      </c>
      <c r="E2438" s="521" t="s">
        <v>309</v>
      </c>
      <c r="F2438" s="518">
        <v>1</v>
      </c>
      <c r="G2438" s="274"/>
      <c r="H2438" s="275"/>
    </row>
    <row r="2439" spans="2:8" ht="25.5">
      <c r="B2439" s="129" t="s">
        <v>3249</v>
      </c>
      <c r="C2439" s="368"/>
      <c r="D2439" s="520" t="s">
        <v>3250</v>
      </c>
      <c r="E2439" s="521" t="s">
        <v>209</v>
      </c>
      <c r="F2439" s="518">
        <v>100</v>
      </c>
      <c r="G2439" s="274"/>
      <c r="H2439" s="275"/>
    </row>
    <row r="2440" spans="2:8" ht="25.5">
      <c r="B2440" s="129" t="s">
        <v>3251</v>
      </c>
      <c r="C2440" s="368"/>
      <c r="D2440" s="520" t="s">
        <v>3252</v>
      </c>
      <c r="E2440" s="521" t="s">
        <v>209</v>
      </c>
      <c r="F2440" s="518">
        <v>100</v>
      </c>
      <c r="G2440" s="274"/>
      <c r="H2440" s="275"/>
    </row>
    <row r="2441" spans="2:8" ht="14.25">
      <c r="B2441" s="129" t="s">
        <v>3253</v>
      </c>
      <c r="C2441" s="368"/>
      <c r="D2441" s="520" t="s">
        <v>3254</v>
      </c>
      <c r="E2441" s="521" t="s">
        <v>99</v>
      </c>
      <c r="F2441" s="518">
        <v>1</v>
      </c>
      <c r="G2441" s="274"/>
      <c r="H2441" s="275"/>
    </row>
    <row r="2442" spans="2:8" ht="14.25">
      <c r="B2442" s="129" t="s">
        <v>3255</v>
      </c>
      <c r="C2442" s="368"/>
      <c r="D2442" s="520" t="s">
        <v>3256</v>
      </c>
      <c r="E2442" s="521" t="s">
        <v>99</v>
      </c>
      <c r="F2442" s="518">
        <v>1</v>
      </c>
      <c r="G2442" s="274"/>
      <c r="H2442" s="275"/>
    </row>
    <row r="2443" spans="2:8" ht="14.25">
      <c r="B2443" s="129" t="s">
        <v>3257</v>
      </c>
      <c r="C2443" s="368"/>
      <c r="D2443" s="520" t="s">
        <v>3206</v>
      </c>
      <c r="E2443" s="521" t="s">
        <v>99</v>
      </c>
      <c r="F2443" s="518">
        <v>1</v>
      </c>
      <c r="G2443" s="274"/>
      <c r="H2443" s="275"/>
    </row>
    <row r="2444" spans="2:8" ht="14.25">
      <c r="B2444" s="129" t="s">
        <v>3258</v>
      </c>
      <c r="C2444" s="368"/>
      <c r="D2444" s="520" t="s">
        <v>3208</v>
      </c>
      <c r="E2444" s="521" t="s">
        <v>99</v>
      </c>
      <c r="F2444" s="518">
        <v>1</v>
      </c>
      <c r="G2444" s="274"/>
      <c r="H2444" s="275"/>
    </row>
    <row r="2445" spans="2:8" ht="14.25">
      <c r="B2445" s="129" t="s">
        <v>3259</v>
      </c>
      <c r="C2445" s="368"/>
      <c r="D2445" s="520" t="s">
        <v>3260</v>
      </c>
      <c r="E2445" s="521" t="s">
        <v>99</v>
      </c>
      <c r="F2445" s="518">
        <v>1</v>
      </c>
      <c r="G2445" s="274"/>
      <c r="H2445" s="275"/>
    </row>
    <row r="2446" spans="2:8" ht="14.25">
      <c r="B2446" s="129" t="s">
        <v>3261</v>
      </c>
      <c r="C2446" s="368"/>
      <c r="D2446" s="520" t="s">
        <v>3212</v>
      </c>
      <c r="E2446" s="521" t="s">
        <v>99</v>
      </c>
      <c r="F2446" s="518">
        <v>1</v>
      </c>
      <c r="G2446" s="274"/>
      <c r="H2446" s="275"/>
    </row>
    <row r="2447" spans="2:8" ht="14.25">
      <c r="B2447" s="129" t="s">
        <v>3262</v>
      </c>
      <c r="C2447" s="368"/>
      <c r="D2447" s="520" t="s">
        <v>3263</v>
      </c>
      <c r="E2447" s="521" t="s">
        <v>99</v>
      </c>
      <c r="F2447" s="518">
        <v>2</v>
      </c>
      <c r="G2447" s="274"/>
      <c r="H2447" s="275"/>
    </row>
    <row r="2448" spans="2:8" ht="14.25">
      <c r="B2448" s="129" t="s">
        <v>3264</v>
      </c>
      <c r="C2448" s="368"/>
      <c r="D2448" s="520" t="s">
        <v>3214</v>
      </c>
      <c r="E2448" s="521" t="s">
        <v>99</v>
      </c>
      <c r="F2448" s="518">
        <v>2</v>
      </c>
      <c r="G2448" s="274"/>
      <c r="H2448" s="275"/>
    </row>
    <row r="2449" spans="2:8" ht="14.25">
      <c r="B2449" s="129" t="s">
        <v>3265</v>
      </c>
      <c r="C2449" s="368"/>
      <c r="D2449" s="520" t="s">
        <v>3266</v>
      </c>
      <c r="E2449" s="521" t="s">
        <v>99</v>
      </c>
      <c r="F2449" s="518">
        <v>1</v>
      </c>
      <c r="G2449" s="274"/>
      <c r="H2449" s="275"/>
    </row>
    <row r="2450" spans="2:8" ht="14.25">
      <c r="B2450" s="129" t="s">
        <v>3267</v>
      </c>
      <c r="C2450" s="368"/>
      <c r="D2450" s="520" t="s">
        <v>3268</v>
      </c>
      <c r="E2450" s="521" t="s">
        <v>99</v>
      </c>
      <c r="F2450" s="518">
        <v>3</v>
      </c>
      <c r="G2450" s="274"/>
      <c r="H2450" s="275"/>
    </row>
    <row r="2451" spans="2:8" ht="14.25">
      <c r="B2451" s="129" t="s">
        <v>3269</v>
      </c>
      <c r="C2451" s="368"/>
      <c r="D2451" s="520" t="s">
        <v>3270</v>
      </c>
      <c r="E2451" s="521" t="s">
        <v>99</v>
      </c>
      <c r="F2451" s="518">
        <v>1</v>
      </c>
      <c r="G2451" s="274"/>
      <c r="H2451" s="275"/>
    </row>
    <row r="2452" spans="2:8" ht="14.25">
      <c r="B2452" s="129" t="s">
        <v>3271</v>
      </c>
      <c r="C2452" s="368"/>
      <c r="D2452" s="520" t="s">
        <v>3216</v>
      </c>
      <c r="E2452" s="521" t="s">
        <v>99</v>
      </c>
      <c r="F2452" s="518">
        <v>2</v>
      </c>
      <c r="G2452" s="274"/>
      <c r="H2452" s="275"/>
    </row>
    <row r="2453" spans="2:8" ht="14.25">
      <c r="B2453" s="129" t="s">
        <v>3272</v>
      </c>
      <c r="C2453" s="368"/>
      <c r="D2453" s="520" t="s">
        <v>3218</v>
      </c>
      <c r="E2453" s="521" t="s">
        <v>99</v>
      </c>
      <c r="F2453" s="518">
        <v>2</v>
      </c>
      <c r="G2453" s="274"/>
      <c r="H2453" s="275"/>
    </row>
    <row r="2454" spans="2:8" ht="14.25">
      <c r="B2454" s="129" t="s">
        <v>3273</v>
      </c>
      <c r="C2454" s="368"/>
      <c r="D2454" s="520" t="s">
        <v>3220</v>
      </c>
      <c r="E2454" s="521" t="s">
        <v>99</v>
      </c>
      <c r="F2454" s="518">
        <v>3</v>
      </c>
      <c r="G2454" s="274"/>
      <c r="H2454" s="275"/>
    </row>
    <row r="2455" spans="2:8" ht="14.25">
      <c r="B2455" s="129" t="s">
        <v>3274</v>
      </c>
      <c r="C2455" s="368"/>
      <c r="D2455" s="520" t="s">
        <v>3222</v>
      </c>
      <c r="E2455" s="521" t="s">
        <v>99</v>
      </c>
      <c r="F2455" s="518">
        <v>1</v>
      </c>
      <c r="G2455" s="274"/>
      <c r="H2455" s="275"/>
    </row>
    <row r="2456" spans="2:8" ht="14.25">
      <c r="B2456" s="129" t="s">
        <v>3275</v>
      </c>
      <c r="C2456" s="519"/>
      <c r="D2456" s="520" t="s">
        <v>3276</v>
      </c>
      <c r="E2456" s="521" t="s">
        <v>99</v>
      </c>
      <c r="F2456" s="518">
        <v>1</v>
      </c>
      <c r="G2456" s="522"/>
      <c r="H2456" s="523"/>
    </row>
    <row r="2457" spans="2:8" ht="14.25">
      <c r="B2457" s="129" t="s">
        <v>3277</v>
      </c>
      <c r="C2457" s="519"/>
      <c r="D2457" s="520" t="s">
        <v>3224</v>
      </c>
      <c r="E2457" s="521" t="s">
        <v>99</v>
      </c>
      <c r="F2457" s="518">
        <v>1</v>
      </c>
      <c r="G2457" s="522"/>
      <c r="H2457" s="523"/>
    </row>
    <row r="2458" spans="2:8" ht="38.25">
      <c r="B2458" s="129" t="s">
        <v>3278</v>
      </c>
      <c r="C2458" s="368"/>
      <c r="D2458" s="524" t="s">
        <v>3279</v>
      </c>
      <c r="E2458" s="189"/>
      <c r="F2458" s="384"/>
      <c r="G2458" s="274"/>
      <c r="H2458" s="275"/>
    </row>
    <row r="2459" spans="2:8" ht="38.25">
      <c r="B2459" s="129" t="s">
        <v>3280</v>
      </c>
      <c r="C2459" s="368"/>
      <c r="D2459" s="520" t="s">
        <v>3281</v>
      </c>
      <c r="E2459" s="521" t="s">
        <v>309</v>
      </c>
      <c r="F2459" s="518">
        <v>1</v>
      </c>
      <c r="G2459" s="274"/>
      <c r="H2459" s="275"/>
    </row>
    <row r="2460" spans="2:8" ht="25.5">
      <c r="B2460" s="129" t="s">
        <v>3282</v>
      </c>
      <c r="C2460" s="368"/>
      <c r="D2460" s="520" t="s">
        <v>3283</v>
      </c>
      <c r="E2460" s="521" t="s">
        <v>209</v>
      </c>
      <c r="F2460" s="518">
        <f>+F2472-4</f>
        <v>8</v>
      </c>
      <c r="G2460" s="274"/>
      <c r="H2460" s="275"/>
    </row>
    <row r="2461" spans="2:8" ht="25.5">
      <c r="B2461" s="129" t="s">
        <v>3284</v>
      </c>
      <c r="C2461" s="368"/>
      <c r="D2461" s="520" t="s">
        <v>3285</v>
      </c>
      <c r="E2461" s="521" t="s">
        <v>209</v>
      </c>
      <c r="F2461" s="518">
        <f>+F2473-4</f>
        <v>8</v>
      </c>
      <c r="G2461" s="274"/>
      <c r="H2461" s="275"/>
    </row>
    <row r="2462" spans="2:8" ht="14.25">
      <c r="B2462" s="129" t="s">
        <v>3286</v>
      </c>
      <c r="C2462" s="368"/>
      <c r="D2462" s="520" t="s">
        <v>3287</v>
      </c>
      <c r="E2462" s="521" t="s">
        <v>99</v>
      </c>
      <c r="F2462" s="518">
        <v>1</v>
      </c>
      <c r="G2462" s="274"/>
      <c r="H2462" s="275"/>
    </row>
    <row r="2463" spans="2:8" ht="14.25">
      <c r="B2463" s="129" t="s">
        <v>3288</v>
      </c>
      <c r="C2463" s="368"/>
      <c r="D2463" s="520" t="s">
        <v>3289</v>
      </c>
      <c r="E2463" s="521" t="s">
        <v>99</v>
      </c>
      <c r="F2463" s="518">
        <v>1</v>
      </c>
      <c r="G2463" s="274"/>
      <c r="H2463" s="275"/>
    </row>
    <row r="2464" spans="2:8" ht="14.25">
      <c r="B2464" s="129" t="s">
        <v>3290</v>
      </c>
      <c r="C2464" s="368"/>
      <c r="D2464" s="520" t="s">
        <v>3206</v>
      </c>
      <c r="E2464" s="521" t="s">
        <v>99</v>
      </c>
      <c r="F2464" s="518">
        <v>1</v>
      </c>
      <c r="G2464" s="274"/>
      <c r="H2464" s="275"/>
    </row>
    <row r="2465" spans="2:8" ht="14.25">
      <c r="B2465" s="129" t="s">
        <v>3291</v>
      </c>
      <c r="C2465" s="368"/>
      <c r="D2465" s="520" t="s">
        <v>3208</v>
      </c>
      <c r="E2465" s="521" t="s">
        <v>99</v>
      </c>
      <c r="F2465" s="518">
        <v>1</v>
      </c>
      <c r="G2465" s="274"/>
      <c r="H2465" s="275"/>
    </row>
    <row r="2466" spans="2:8" ht="14.25">
      <c r="B2466" s="129" t="s">
        <v>3292</v>
      </c>
      <c r="C2466" s="368"/>
      <c r="D2466" s="520" t="s">
        <v>3293</v>
      </c>
      <c r="E2466" s="521" t="s">
        <v>99</v>
      </c>
      <c r="F2466" s="518">
        <v>2</v>
      </c>
      <c r="G2466" s="274"/>
      <c r="H2466" s="275"/>
    </row>
    <row r="2467" spans="2:8" ht="14.25">
      <c r="B2467" s="129" t="s">
        <v>3294</v>
      </c>
      <c r="C2467" s="368"/>
      <c r="D2467" s="520" t="s">
        <v>3295</v>
      </c>
      <c r="E2467" s="521" t="s">
        <v>99</v>
      </c>
      <c r="F2467" s="518">
        <v>2</v>
      </c>
      <c r="G2467" s="274"/>
      <c r="H2467" s="275"/>
    </row>
    <row r="2468" spans="2:8" ht="14.25">
      <c r="B2468" s="129" t="s">
        <v>3296</v>
      </c>
      <c r="C2468" s="368"/>
      <c r="D2468" s="520" t="s">
        <v>3297</v>
      </c>
      <c r="E2468" s="521" t="s">
        <v>99</v>
      </c>
      <c r="F2468" s="518">
        <v>20</v>
      </c>
      <c r="G2468" s="274"/>
      <c r="H2468" s="275"/>
    </row>
    <row r="2469" spans="2:8" ht="14.25">
      <c r="B2469" s="129" t="s">
        <v>3298</v>
      </c>
      <c r="C2469" s="368"/>
      <c r="D2469" s="520" t="s">
        <v>3299</v>
      </c>
      <c r="E2469" s="521" t="s">
        <v>99</v>
      </c>
      <c r="F2469" s="518">
        <v>4</v>
      </c>
      <c r="G2469" s="274"/>
      <c r="H2469" s="275"/>
    </row>
    <row r="2470" spans="2:8" ht="38.25">
      <c r="B2470" s="129" t="s">
        <v>3300</v>
      </c>
      <c r="C2470" s="368"/>
      <c r="D2470" s="524" t="s">
        <v>3301</v>
      </c>
      <c r="E2470" s="189"/>
      <c r="F2470" s="384"/>
      <c r="G2470" s="274"/>
      <c r="H2470" s="275"/>
    </row>
    <row r="2471" spans="2:8" ht="38.25">
      <c r="B2471" s="129" t="s">
        <v>3302</v>
      </c>
      <c r="C2471" s="368"/>
      <c r="D2471" s="520" t="s">
        <v>3303</v>
      </c>
      <c r="E2471" s="521" t="s">
        <v>309</v>
      </c>
      <c r="F2471" s="518">
        <v>1</v>
      </c>
      <c r="G2471" s="274"/>
      <c r="H2471" s="275"/>
    </row>
    <row r="2472" spans="2:8" ht="25.5">
      <c r="B2472" s="129" t="s">
        <v>3304</v>
      </c>
      <c r="C2472" s="368"/>
      <c r="D2472" s="520" t="s">
        <v>3305</v>
      </c>
      <c r="E2472" s="521" t="s">
        <v>209</v>
      </c>
      <c r="F2472" s="518">
        <v>12</v>
      </c>
      <c r="G2472" s="274"/>
      <c r="H2472" s="275"/>
    </row>
    <row r="2473" spans="2:8" ht="25.5">
      <c r="B2473" s="129" t="s">
        <v>3306</v>
      </c>
      <c r="C2473" s="368"/>
      <c r="D2473" s="520" t="s">
        <v>3307</v>
      </c>
      <c r="E2473" s="521" t="s">
        <v>209</v>
      </c>
      <c r="F2473" s="518">
        <v>12</v>
      </c>
      <c r="G2473" s="274"/>
      <c r="H2473" s="275"/>
    </row>
    <row r="2474" spans="2:8" ht="14.25">
      <c r="B2474" s="129" t="s">
        <v>3308</v>
      </c>
      <c r="C2474" s="368"/>
      <c r="D2474" s="520" t="s">
        <v>3309</v>
      </c>
      <c r="E2474" s="521" t="s">
        <v>99</v>
      </c>
      <c r="F2474" s="518">
        <v>1</v>
      </c>
      <c r="G2474" s="274"/>
      <c r="H2474" s="275"/>
    </row>
    <row r="2475" spans="2:8" ht="14.25">
      <c r="B2475" s="129" t="s">
        <v>3310</v>
      </c>
      <c r="C2475" s="368"/>
      <c r="D2475" s="520" t="s">
        <v>3311</v>
      </c>
      <c r="E2475" s="521" t="s">
        <v>99</v>
      </c>
      <c r="F2475" s="518">
        <v>1</v>
      </c>
      <c r="G2475" s="274"/>
      <c r="H2475" s="275"/>
    </row>
    <row r="2476" spans="2:8" ht="14.25">
      <c r="B2476" s="129" t="s">
        <v>3312</v>
      </c>
      <c r="C2476" s="368"/>
      <c r="D2476" s="520" t="s">
        <v>3206</v>
      </c>
      <c r="E2476" s="521" t="s">
        <v>99</v>
      </c>
      <c r="F2476" s="518">
        <v>1</v>
      </c>
      <c r="G2476" s="274"/>
      <c r="H2476" s="275"/>
    </row>
    <row r="2477" spans="2:8" ht="14.25">
      <c r="B2477" s="129" t="s">
        <v>3313</v>
      </c>
      <c r="C2477" s="368"/>
      <c r="D2477" s="520" t="s">
        <v>3208</v>
      </c>
      <c r="E2477" s="521"/>
      <c r="F2477" s="518">
        <v>1</v>
      </c>
      <c r="G2477" s="274"/>
      <c r="H2477" s="275"/>
    </row>
    <row r="2478" spans="2:8" ht="14.25">
      <c r="B2478" s="129" t="s">
        <v>3314</v>
      </c>
      <c r="C2478" s="368"/>
      <c r="D2478" s="520" t="s">
        <v>3293</v>
      </c>
      <c r="E2478" s="521" t="s">
        <v>99</v>
      </c>
      <c r="F2478" s="518">
        <v>2</v>
      </c>
      <c r="G2478" s="274"/>
      <c r="H2478" s="275"/>
    </row>
    <row r="2479" spans="2:8" ht="14.25">
      <c r="B2479" s="129" t="s">
        <v>3315</v>
      </c>
      <c r="C2479" s="368"/>
      <c r="D2479" s="520" t="s">
        <v>3316</v>
      </c>
      <c r="E2479" s="521" t="s">
        <v>99</v>
      </c>
      <c r="F2479" s="518">
        <v>4</v>
      </c>
      <c r="G2479" s="274"/>
      <c r="H2479" s="275"/>
    </row>
    <row r="2480" spans="2:8" ht="14.25">
      <c r="B2480" s="129" t="s">
        <v>3317</v>
      </c>
      <c r="C2480" s="368"/>
      <c r="D2480" s="520" t="s">
        <v>3295</v>
      </c>
      <c r="E2480" s="521" t="s">
        <v>99</v>
      </c>
      <c r="F2480" s="518">
        <v>14</v>
      </c>
      <c r="G2480" s="274"/>
      <c r="H2480" s="275"/>
    </row>
    <row r="2481" spans="2:8" ht="14.25">
      <c r="B2481" s="129" t="s">
        <v>3318</v>
      </c>
      <c r="C2481" s="368"/>
      <c r="D2481" s="520" t="s">
        <v>3297</v>
      </c>
      <c r="E2481" s="521" t="s">
        <v>99</v>
      </c>
      <c r="F2481" s="518">
        <v>88</v>
      </c>
      <c r="G2481" s="274"/>
      <c r="H2481" s="275"/>
    </row>
    <row r="2482" spans="2:8" ht="14.25">
      <c r="B2482" s="129" t="s">
        <v>3319</v>
      </c>
      <c r="C2482" s="368"/>
      <c r="D2482" s="520" t="s">
        <v>3299</v>
      </c>
      <c r="E2482" s="521" t="s">
        <v>99</v>
      </c>
      <c r="F2482" s="518">
        <v>26</v>
      </c>
      <c r="G2482" s="274"/>
      <c r="H2482" s="275"/>
    </row>
    <row r="2483" spans="2:8" ht="38.25">
      <c r="B2483" s="129" t="s">
        <v>3320</v>
      </c>
      <c r="C2483" s="368"/>
      <c r="D2483" s="524" t="s">
        <v>3321</v>
      </c>
      <c r="E2483" s="189"/>
      <c r="F2483" s="384"/>
      <c r="G2483" s="274"/>
      <c r="H2483" s="275"/>
    </row>
    <row r="2484" spans="2:8" ht="38.25">
      <c r="B2484" s="129" t="s">
        <v>3322</v>
      </c>
      <c r="C2484" s="368"/>
      <c r="D2484" s="520" t="s">
        <v>3323</v>
      </c>
      <c r="E2484" s="521" t="s">
        <v>309</v>
      </c>
      <c r="F2484" s="518">
        <v>1</v>
      </c>
      <c r="G2484" s="274"/>
      <c r="H2484" s="275"/>
    </row>
    <row r="2485" spans="2:8" ht="25.5">
      <c r="B2485" s="129" t="s">
        <v>3324</v>
      </c>
      <c r="C2485" s="368"/>
      <c r="D2485" s="520" t="s">
        <v>3325</v>
      </c>
      <c r="E2485" s="521" t="s">
        <v>209</v>
      </c>
      <c r="F2485" s="518">
        <v>50</v>
      </c>
      <c r="G2485" s="274"/>
      <c r="H2485" s="275"/>
    </row>
    <row r="2486" spans="2:8" ht="25.5">
      <c r="B2486" s="129" t="s">
        <v>3326</v>
      </c>
      <c r="C2486" s="368"/>
      <c r="D2486" s="520" t="s">
        <v>3327</v>
      </c>
      <c r="E2486" s="521" t="s">
        <v>209</v>
      </c>
      <c r="F2486" s="518">
        <v>50</v>
      </c>
      <c r="G2486" s="274"/>
      <c r="H2486" s="275"/>
    </row>
    <row r="2487" spans="2:8" ht="14.25">
      <c r="B2487" s="129" t="s">
        <v>3328</v>
      </c>
      <c r="C2487" s="368"/>
      <c r="D2487" s="520" t="s">
        <v>3329</v>
      </c>
      <c r="E2487" s="521" t="s">
        <v>99</v>
      </c>
      <c r="F2487" s="518">
        <v>1</v>
      </c>
      <c r="G2487" s="274"/>
      <c r="H2487" s="275"/>
    </row>
    <row r="2488" spans="2:8" ht="14.25">
      <c r="B2488" s="129" t="s">
        <v>3330</v>
      </c>
      <c r="C2488" s="368"/>
      <c r="D2488" s="520" t="s">
        <v>3331</v>
      </c>
      <c r="E2488" s="521" t="s">
        <v>99</v>
      </c>
      <c r="F2488" s="518">
        <v>1</v>
      </c>
      <c r="G2488" s="274"/>
      <c r="H2488" s="275"/>
    </row>
    <row r="2489" spans="2:8" ht="14.25">
      <c r="B2489" s="129" t="s">
        <v>3332</v>
      </c>
      <c r="C2489" s="368"/>
      <c r="D2489" s="520" t="s">
        <v>3206</v>
      </c>
      <c r="E2489" s="521" t="s">
        <v>99</v>
      </c>
      <c r="F2489" s="518">
        <v>1</v>
      </c>
      <c r="G2489" s="274"/>
      <c r="H2489" s="275"/>
    </row>
    <row r="2490" spans="2:8" ht="14.25">
      <c r="B2490" s="129" t="s">
        <v>3333</v>
      </c>
      <c r="C2490" s="368"/>
      <c r="D2490" s="520" t="s">
        <v>3208</v>
      </c>
      <c r="E2490" s="521"/>
      <c r="F2490" s="518">
        <v>1</v>
      </c>
      <c r="G2490" s="274"/>
      <c r="H2490" s="275"/>
    </row>
    <row r="2491" spans="2:8" ht="14.25">
      <c r="B2491" s="129" t="s">
        <v>3334</v>
      </c>
      <c r="C2491" s="368"/>
      <c r="D2491" s="520" t="s">
        <v>3335</v>
      </c>
      <c r="E2491" s="521" t="s">
        <v>99</v>
      </c>
      <c r="F2491" s="518">
        <v>2</v>
      </c>
      <c r="G2491" s="274"/>
      <c r="H2491" s="275"/>
    </row>
    <row r="2492" spans="2:8" ht="14.25">
      <c r="B2492" s="129" t="s">
        <v>3336</v>
      </c>
      <c r="C2492" s="368"/>
      <c r="D2492" s="520" t="s">
        <v>3337</v>
      </c>
      <c r="E2492" s="521" t="s">
        <v>99</v>
      </c>
      <c r="F2492" s="518">
        <v>1</v>
      </c>
      <c r="G2492" s="274"/>
      <c r="H2492" s="275"/>
    </row>
    <row r="2493" spans="2:8" ht="14.25">
      <c r="B2493" s="129" t="s">
        <v>3338</v>
      </c>
      <c r="C2493" s="368"/>
      <c r="D2493" s="520" t="s">
        <v>3316</v>
      </c>
      <c r="E2493" s="521" t="s">
        <v>99</v>
      </c>
      <c r="F2493" s="518">
        <v>1</v>
      </c>
      <c r="G2493" s="274"/>
      <c r="H2493" s="275"/>
    </row>
    <row r="2494" spans="2:8" ht="14.25">
      <c r="B2494" s="129" t="s">
        <v>3339</v>
      </c>
      <c r="C2494" s="368"/>
      <c r="D2494" s="520" t="s">
        <v>3295</v>
      </c>
      <c r="E2494" s="521" t="s">
        <v>99</v>
      </c>
      <c r="F2494" s="518">
        <v>4</v>
      </c>
      <c r="G2494" s="274"/>
      <c r="H2494" s="275"/>
    </row>
    <row r="2495" spans="2:8" ht="14.25">
      <c r="B2495" s="129" t="s">
        <v>3340</v>
      </c>
      <c r="C2495" s="519"/>
      <c r="D2495" s="520" t="s">
        <v>3297</v>
      </c>
      <c r="E2495" s="521" t="s">
        <v>99</v>
      </c>
      <c r="F2495" s="518">
        <v>14</v>
      </c>
      <c r="G2495" s="522"/>
      <c r="H2495" s="523"/>
    </row>
    <row r="2496" spans="2:8" ht="14.25">
      <c r="B2496" s="129" t="s">
        <v>3341</v>
      </c>
      <c r="C2496" s="519"/>
      <c r="D2496" s="520" t="s">
        <v>3299</v>
      </c>
      <c r="E2496" s="521" t="s">
        <v>99</v>
      </c>
      <c r="F2496" s="518">
        <v>3</v>
      </c>
      <c r="G2496" s="522"/>
      <c r="H2496" s="523"/>
    </row>
    <row r="2497" spans="2:8" ht="38.25">
      <c r="B2497" s="129" t="s">
        <v>3342</v>
      </c>
      <c r="C2497" s="368"/>
      <c r="D2497" s="524" t="s">
        <v>3343</v>
      </c>
      <c r="E2497" s="521"/>
      <c r="F2497" s="518"/>
      <c r="G2497" s="274"/>
      <c r="H2497" s="275"/>
    </row>
    <row r="2498" spans="2:8" ht="38.25">
      <c r="B2498" s="129" t="s">
        <v>3344</v>
      </c>
      <c r="C2498" s="368"/>
      <c r="D2498" s="520" t="s">
        <v>3345</v>
      </c>
      <c r="E2498" s="521" t="s">
        <v>309</v>
      </c>
      <c r="F2498" s="518">
        <v>1</v>
      </c>
      <c r="G2498" s="274"/>
      <c r="H2498" s="275"/>
    </row>
    <row r="2499" spans="2:8" ht="25.5">
      <c r="B2499" s="129" t="s">
        <v>3346</v>
      </c>
      <c r="C2499" s="368"/>
      <c r="D2499" s="520" t="s">
        <v>3347</v>
      </c>
      <c r="E2499" s="521" t="s">
        <v>209</v>
      </c>
      <c r="F2499" s="518">
        <v>16</v>
      </c>
      <c r="G2499" s="274"/>
      <c r="H2499" s="275"/>
    </row>
    <row r="2500" spans="2:8" ht="25.5">
      <c r="B2500" s="129" t="s">
        <v>3348</v>
      </c>
      <c r="C2500" s="368"/>
      <c r="D2500" s="520" t="s">
        <v>3349</v>
      </c>
      <c r="E2500" s="521" t="s">
        <v>209</v>
      </c>
      <c r="F2500" s="518">
        <v>16</v>
      </c>
      <c r="G2500" s="274"/>
      <c r="H2500" s="275"/>
    </row>
    <row r="2501" spans="2:8" ht="14.25">
      <c r="B2501" s="129" t="s">
        <v>3350</v>
      </c>
      <c r="C2501" s="368"/>
      <c r="D2501" s="520" t="s">
        <v>3351</v>
      </c>
      <c r="E2501" s="521" t="s">
        <v>99</v>
      </c>
      <c r="F2501" s="518">
        <v>1</v>
      </c>
      <c r="G2501" s="274"/>
      <c r="H2501" s="275"/>
    </row>
    <row r="2502" spans="2:8" ht="14.25">
      <c r="B2502" s="129" t="s">
        <v>3352</v>
      </c>
      <c r="C2502" s="368"/>
      <c r="D2502" s="520" t="s">
        <v>3353</v>
      </c>
      <c r="E2502" s="521" t="s">
        <v>99</v>
      </c>
      <c r="F2502" s="518">
        <v>1</v>
      </c>
      <c r="G2502" s="274"/>
      <c r="H2502" s="275"/>
    </row>
    <row r="2503" spans="2:8" ht="14.25">
      <c r="B2503" s="129" t="s">
        <v>3354</v>
      </c>
      <c r="C2503" s="368"/>
      <c r="D2503" s="520" t="s">
        <v>3206</v>
      </c>
      <c r="E2503" s="521" t="s">
        <v>99</v>
      </c>
      <c r="F2503" s="518">
        <v>1</v>
      </c>
      <c r="G2503" s="274"/>
      <c r="H2503" s="275"/>
    </row>
    <row r="2504" spans="2:8" ht="14.25">
      <c r="B2504" s="129" t="s">
        <v>3355</v>
      </c>
      <c r="C2504" s="368"/>
      <c r="D2504" s="520" t="s">
        <v>3208</v>
      </c>
      <c r="E2504" s="521" t="s">
        <v>99</v>
      </c>
      <c r="F2504" s="518">
        <v>1</v>
      </c>
      <c r="G2504" s="274"/>
      <c r="H2504" s="275"/>
    </row>
    <row r="2505" spans="2:8" ht="14.25">
      <c r="B2505" s="129" t="s">
        <v>3356</v>
      </c>
      <c r="C2505" s="368"/>
      <c r="D2505" s="520" t="s">
        <v>3293</v>
      </c>
      <c r="E2505" s="521" t="s">
        <v>99</v>
      </c>
      <c r="F2505" s="518">
        <v>2</v>
      </c>
      <c r="G2505" s="274"/>
      <c r="H2505" s="275"/>
    </row>
    <row r="2506" spans="2:8" ht="14.25">
      <c r="B2506" s="129" t="s">
        <v>3357</v>
      </c>
      <c r="C2506" s="368"/>
      <c r="D2506" s="520" t="s">
        <v>3316</v>
      </c>
      <c r="E2506" s="521" t="s">
        <v>99</v>
      </c>
      <c r="F2506" s="518">
        <v>1</v>
      </c>
      <c r="G2506" s="274"/>
      <c r="H2506" s="275"/>
    </row>
    <row r="2507" spans="2:8" ht="14.25">
      <c r="B2507" s="129" t="s">
        <v>3358</v>
      </c>
      <c r="C2507" s="368"/>
      <c r="D2507" s="520" t="s">
        <v>3295</v>
      </c>
      <c r="E2507" s="521" t="s">
        <v>99</v>
      </c>
      <c r="F2507" s="518">
        <v>12</v>
      </c>
      <c r="G2507" s="274"/>
      <c r="H2507" s="275"/>
    </row>
    <row r="2508" spans="2:8" ht="14.25">
      <c r="B2508" s="129" t="s">
        <v>3359</v>
      </c>
      <c r="C2508" s="368"/>
      <c r="D2508" s="520" t="s">
        <v>3297</v>
      </c>
      <c r="E2508" s="521" t="s">
        <v>99</v>
      </c>
      <c r="F2508" s="518">
        <v>52</v>
      </c>
      <c r="G2508" s="274"/>
      <c r="H2508" s="275"/>
    </row>
    <row r="2509" spans="2:8" ht="14.25">
      <c r="B2509" s="129" t="s">
        <v>3360</v>
      </c>
      <c r="C2509" s="368"/>
      <c r="D2509" s="520" t="s">
        <v>3299</v>
      </c>
      <c r="E2509" s="521" t="s">
        <v>99</v>
      </c>
      <c r="F2509" s="518">
        <v>25</v>
      </c>
      <c r="G2509" s="274"/>
      <c r="H2509" s="275"/>
    </row>
    <row r="2510" spans="2:8" ht="38.25">
      <c r="B2510" s="129" t="s">
        <v>3361</v>
      </c>
      <c r="C2510" s="368"/>
      <c r="D2510" s="524" t="s">
        <v>3362</v>
      </c>
      <c r="E2510" s="521"/>
      <c r="F2510" s="518"/>
      <c r="G2510" s="274"/>
      <c r="H2510" s="275"/>
    </row>
    <row r="2511" spans="2:8" ht="38.25">
      <c r="B2511" s="129" t="s">
        <v>3363</v>
      </c>
      <c r="C2511" s="368"/>
      <c r="D2511" s="520" t="s">
        <v>3364</v>
      </c>
      <c r="E2511" s="521" t="s">
        <v>309</v>
      </c>
      <c r="F2511" s="518">
        <v>1</v>
      </c>
      <c r="G2511" s="274"/>
      <c r="H2511" s="275"/>
    </row>
    <row r="2512" spans="2:8" ht="25.5">
      <c r="B2512" s="129" t="s">
        <v>3365</v>
      </c>
      <c r="C2512" s="368"/>
      <c r="D2512" s="520" t="s">
        <v>3366</v>
      </c>
      <c r="E2512" s="521" t="s">
        <v>209</v>
      </c>
      <c r="F2512" s="518">
        <v>20</v>
      </c>
      <c r="G2512" s="274"/>
      <c r="H2512" s="275"/>
    </row>
    <row r="2513" spans="2:8" ht="25.5">
      <c r="B2513" s="129" t="s">
        <v>3367</v>
      </c>
      <c r="C2513" s="368"/>
      <c r="D2513" s="520" t="s">
        <v>3368</v>
      </c>
      <c r="E2513" s="521" t="s">
        <v>209</v>
      </c>
      <c r="F2513" s="518">
        <v>20</v>
      </c>
      <c r="G2513" s="274"/>
      <c r="H2513" s="275"/>
    </row>
    <row r="2514" spans="2:8" ht="14.25">
      <c r="B2514" s="129" t="s">
        <v>3369</v>
      </c>
      <c r="C2514" s="368"/>
      <c r="D2514" s="520" t="s">
        <v>3370</v>
      </c>
      <c r="E2514" s="521" t="s">
        <v>99</v>
      </c>
      <c r="F2514" s="518">
        <v>1</v>
      </c>
      <c r="G2514" s="274"/>
      <c r="H2514" s="275"/>
    </row>
    <row r="2515" spans="2:8" ht="14.25">
      <c r="B2515" s="129" t="s">
        <v>3371</v>
      </c>
      <c r="C2515" s="368"/>
      <c r="D2515" s="520" t="s">
        <v>3372</v>
      </c>
      <c r="E2515" s="521" t="s">
        <v>99</v>
      </c>
      <c r="F2515" s="518">
        <v>1</v>
      </c>
      <c r="G2515" s="274"/>
      <c r="H2515" s="275"/>
    </row>
    <row r="2516" spans="2:8" ht="14.25">
      <c r="B2516" s="129" t="s">
        <v>3373</v>
      </c>
      <c r="C2516" s="368"/>
      <c r="D2516" s="520" t="s">
        <v>3206</v>
      </c>
      <c r="E2516" s="521" t="s">
        <v>99</v>
      </c>
      <c r="F2516" s="518">
        <v>1</v>
      </c>
      <c r="G2516" s="274"/>
      <c r="H2516" s="275"/>
    </row>
    <row r="2517" spans="2:8" ht="14.25">
      <c r="B2517" s="129" t="s">
        <v>3374</v>
      </c>
      <c r="C2517" s="368"/>
      <c r="D2517" s="520" t="s">
        <v>3208</v>
      </c>
      <c r="E2517" s="521" t="s">
        <v>99</v>
      </c>
      <c r="F2517" s="518">
        <v>1</v>
      </c>
      <c r="G2517" s="274"/>
      <c r="H2517" s="275"/>
    </row>
    <row r="2518" spans="2:8" ht="14.25">
      <c r="B2518" s="129" t="s">
        <v>3375</v>
      </c>
      <c r="C2518" s="368"/>
      <c r="D2518" s="520" t="s">
        <v>3293</v>
      </c>
      <c r="E2518" s="521" t="s">
        <v>99</v>
      </c>
      <c r="F2518" s="518">
        <v>2</v>
      </c>
      <c r="G2518" s="274"/>
      <c r="H2518" s="275"/>
    </row>
    <row r="2519" spans="2:8" ht="14.25">
      <c r="B2519" s="129" t="s">
        <v>3376</v>
      </c>
      <c r="C2519" s="368"/>
      <c r="D2519" s="520" t="s">
        <v>3316</v>
      </c>
      <c r="E2519" s="521" t="s">
        <v>99</v>
      </c>
      <c r="F2519" s="518">
        <v>2</v>
      </c>
      <c r="G2519" s="274"/>
      <c r="H2519" s="275"/>
    </row>
    <row r="2520" spans="2:8" ht="14.25">
      <c r="B2520" s="129" t="s">
        <v>3377</v>
      </c>
      <c r="C2520" s="368"/>
      <c r="D2520" s="520" t="s">
        <v>3295</v>
      </c>
      <c r="E2520" s="521" t="s">
        <v>99</v>
      </c>
      <c r="F2520" s="518">
        <v>6</v>
      </c>
      <c r="G2520" s="274"/>
      <c r="H2520" s="275"/>
    </row>
    <row r="2521" spans="2:8" ht="14.25">
      <c r="B2521" s="129" t="s">
        <v>3378</v>
      </c>
      <c r="C2521" s="368"/>
      <c r="D2521" s="520" t="s">
        <v>3297</v>
      </c>
      <c r="E2521" s="521" t="s">
        <v>99</v>
      </c>
      <c r="F2521" s="518">
        <v>61</v>
      </c>
      <c r="G2521" s="274"/>
      <c r="H2521" s="275"/>
    </row>
    <row r="2522" spans="2:8" ht="14.25">
      <c r="B2522" s="129" t="s">
        <v>3379</v>
      </c>
      <c r="C2522" s="368"/>
      <c r="D2522" s="520" t="s">
        <v>3299</v>
      </c>
      <c r="E2522" s="521" t="s">
        <v>99</v>
      </c>
      <c r="F2522" s="518">
        <v>21</v>
      </c>
      <c r="G2522" s="274"/>
      <c r="H2522" s="275"/>
    </row>
    <row r="2523" spans="2:8" ht="38.25">
      <c r="B2523" s="129" t="s">
        <v>3380</v>
      </c>
      <c r="C2523" s="368"/>
      <c r="D2523" s="524" t="s">
        <v>3381</v>
      </c>
      <c r="E2523" s="521"/>
      <c r="F2523" s="518"/>
      <c r="G2523" s="274"/>
      <c r="H2523" s="275"/>
    </row>
    <row r="2524" spans="2:8" ht="38.25">
      <c r="B2524" s="129" t="s">
        <v>3382</v>
      </c>
      <c r="C2524" s="368"/>
      <c r="D2524" s="520" t="s">
        <v>3364</v>
      </c>
      <c r="E2524" s="521" t="s">
        <v>309</v>
      </c>
      <c r="F2524" s="518">
        <v>1</v>
      </c>
      <c r="G2524" s="274"/>
      <c r="H2524" s="275"/>
    </row>
    <row r="2525" spans="2:8" ht="25.5">
      <c r="B2525" s="129" t="s">
        <v>3383</v>
      </c>
      <c r="C2525" s="368"/>
      <c r="D2525" s="520" t="s">
        <v>3384</v>
      </c>
      <c r="E2525" s="521" t="s">
        <v>209</v>
      </c>
      <c r="F2525" s="518">
        <v>24</v>
      </c>
      <c r="G2525" s="274"/>
      <c r="H2525" s="275"/>
    </row>
    <row r="2526" spans="2:8" ht="25.5">
      <c r="B2526" s="129" t="s">
        <v>3385</v>
      </c>
      <c r="C2526" s="368"/>
      <c r="D2526" s="520" t="s">
        <v>3386</v>
      </c>
      <c r="E2526" s="521" t="s">
        <v>209</v>
      </c>
      <c r="F2526" s="518">
        <v>24</v>
      </c>
      <c r="G2526" s="274"/>
      <c r="H2526" s="275"/>
    </row>
    <row r="2527" spans="2:8" ht="14.25">
      <c r="B2527" s="129" t="s">
        <v>3387</v>
      </c>
      <c r="C2527" s="368"/>
      <c r="D2527" s="520" t="s">
        <v>3370</v>
      </c>
      <c r="E2527" s="521" t="s">
        <v>99</v>
      </c>
      <c r="F2527" s="518">
        <v>1</v>
      </c>
      <c r="G2527" s="274"/>
      <c r="H2527" s="275"/>
    </row>
    <row r="2528" spans="2:8" ht="14.25">
      <c r="B2528" s="129" t="s">
        <v>3388</v>
      </c>
      <c r="C2528" s="368"/>
      <c r="D2528" s="520" t="s">
        <v>3372</v>
      </c>
      <c r="E2528" s="521" t="s">
        <v>99</v>
      </c>
      <c r="F2528" s="518">
        <v>1</v>
      </c>
      <c r="G2528" s="274"/>
      <c r="H2528" s="275"/>
    </row>
    <row r="2529" spans="2:8" ht="14.25">
      <c r="B2529" s="129" t="s">
        <v>3389</v>
      </c>
      <c r="C2529" s="368"/>
      <c r="D2529" s="520" t="s">
        <v>3206</v>
      </c>
      <c r="E2529" s="521" t="s">
        <v>99</v>
      </c>
      <c r="F2529" s="518">
        <v>1</v>
      </c>
      <c r="G2529" s="274"/>
      <c r="H2529" s="275"/>
    </row>
    <row r="2530" spans="2:8" ht="14.25">
      <c r="B2530" s="129" t="s">
        <v>3390</v>
      </c>
      <c r="C2530" s="368"/>
      <c r="D2530" s="520" t="s">
        <v>3208</v>
      </c>
      <c r="E2530" s="521" t="s">
        <v>99</v>
      </c>
      <c r="F2530" s="518">
        <v>1</v>
      </c>
      <c r="G2530" s="274"/>
      <c r="H2530" s="275"/>
    </row>
    <row r="2531" spans="2:8" ht="14.25">
      <c r="B2531" s="129" t="s">
        <v>3391</v>
      </c>
      <c r="C2531" s="368"/>
      <c r="D2531" s="520" t="s">
        <v>3293</v>
      </c>
      <c r="E2531" s="521" t="s">
        <v>99</v>
      </c>
      <c r="F2531" s="518">
        <v>2</v>
      </c>
      <c r="G2531" s="274"/>
      <c r="H2531" s="275"/>
    </row>
    <row r="2532" spans="2:8" ht="14.25">
      <c r="B2532" s="129" t="s">
        <v>3392</v>
      </c>
      <c r="C2532" s="368"/>
      <c r="D2532" s="520" t="s">
        <v>3295</v>
      </c>
      <c r="E2532" s="521" t="s">
        <v>99</v>
      </c>
      <c r="F2532" s="518">
        <v>6</v>
      </c>
      <c r="G2532" s="274"/>
      <c r="H2532" s="275"/>
    </row>
    <row r="2533" spans="2:8" ht="14.25">
      <c r="B2533" s="129" t="s">
        <v>3393</v>
      </c>
      <c r="C2533" s="368"/>
      <c r="D2533" s="520" t="s">
        <v>3297</v>
      </c>
      <c r="E2533" s="521" t="s">
        <v>99</v>
      </c>
      <c r="F2533" s="518">
        <v>72</v>
      </c>
      <c r="G2533" s="274"/>
      <c r="H2533" s="275"/>
    </row>
    <row r="2534" spans="2:8" ht="14.25">
      <c r="B2534" s="129" t="s">
        <v>3394</v>
      </c>
      <c r="C2534" s="368"/>
      <c r="D2534" s="520" t="s">
        <v>3299</v>
      </c>
      <c r="E2534" s="521" t="s">
        <v>99</v>
      </c>
      <c r="F2534" s="518">
        <v>20</v>
      </c>
      <c r="G2534" s="274"/>
      <c r="H2534" s="275"/>
    </row>
    <row r="2535" spans="2:8" ht="38.25">
      <c r="B2535" s="129" t="s">
        <v>3395</v>
      </c>
      <c r="C2535" s="368"/>
      <c r="D2535" s="524" t="s">
        <v>3396</v>
      </c>
      <c r="E2535" s="521"/>
      <c r="F2535" s="518"/>
      <c r="G2535" s="274"/>
      <c r="H2535" s="275"/>
    </row>
    <row r="2536" spans="2:8" ht="38.25">
      <c r="B2536" s="129" t="s">
        <v>3397</v>
      </c>
      <c r="C2536" s="368"/>
      <c r="D2536" s="520" t="s">
        <v>3398</v>
      </c>
      <c r="E2536" s="521" t="s">
        <v>309</v>
      </c>
      <c r="F2536" s="518">
        <v>1</v>
      </c>
      <c r="G2536" s="274"/>
      <c r="H2536" s="275"/>
    </row>
    <row r="2537" spans="2:8" ht="25.5">
      <c r="B2537" s="129" t="s">
        <v>3399</v>
      </c>
      <c r="C2537" s="368"/>
      <c r="D2537" s="520" t="s">
        <v>3366</v>
      </c>
      <c r="E2537" s="521" t="s">
        <v>209</v>
      </c>
      <c r="F2537" s="518">
        <v>28</v>
      </c>
      <c r="G2537" s="274"/>
      <c r="H2537" s="275"/>
    </row>
    <row r="2538" spans="2:8" ht="25.5">
      <c r="B2538" s="129" t="s">
        <v>3400</v>
      </c>
      <c r="C2538" s="368"/>
      <c r="D2538" s="520" t="s">
        <v>3401</v>
      </c>
      <c r="E2538" s="521" t="s">
        <v>209</v>
      </c>
      <c r="F2538" s="518">
        <v>28</v>
      </c>
      <c r="G2538" s="274"/>
      <c r="H2538" s="275"/>
    </row>
    <row r="2539" spans="2:8" ht="14.25">
      <c r="B2539" s="129" t="s">
        <v>3402</v>
      </c>
      <c r="C2539" s="368"/>
      <c r="D2539" s="520" t="s">
        <v>3370</v>
      </c>
      <c r="E2539" s="521" t="s">
        <v>99</v>
      </c>
      <c r="F2539" s="518">
        <v>1</v>
      </c>
      <c r="G2539" s="274"/>
      <c r="H2539" s="275"/>
    </row>
    <row r="2540" spans="2:8" ht="14.25">
      <c r="B2540" s="129" t="s">
        <v>3403</v>
      </c>
      <c r="C2540" s="368"/>
      <c r="D2540" s="520" t="s">
        <v>3404</v>
      </c>
      <c r="E2540" s="521" t="s">
        <v>99</v>
      </c>
      <c r="F2540" s="518">
        <v>1</v>
      </c>
      <c r="G2540" s="274"/>
      <c r="H2540" s="275"/>
    </row>
    <row r="2541" spans="2:8" ht="14.25">
      <c r="B2541" s="129" t="s">
        <v>3405</v>
      </c>
      <c r="C2541" s="368"/>
      <c r="D2541" s="520" t="s">
        <v>3206</v>
      </c>
      <c r="E2541" s="521" t="s">
        <v>99</v>
      </c>
      <c r="F2541" s="518">
        <v>1</v>
      </c>
      <c r="G2541" s="274"/>
      <c r="H2541" s="275"/>
    </row>
    <row r="2542" spans="2:8" ht="14.25">
      <c r="B2542" s="129" t="s">
        <v>3406</v>
      </c>
      <c r="C2542" s="368"/>
      <c r="D2542" s="520" t="s">
        <v>3208</v>
      </c>
      <c r="E2542" s="521" t="s">
        <v>99</v>
      </c>
      <c r="F2542" s="518">
        <v>1</v>
      </c>
      <c r="G2542" s="274"/>
      <c r="H2542" s="275"/>
    </row>
    <row r="2543" spans="2:8" ht="14.25">
      <c r="B2543" s="129" t="s">
        <v>3407</v>
      </c>
      <c r="C2543" s="368"/>
      <c r="D2543" s="520" t="s">
        <v>3293</v>
      </c>
      <c r="E2543" s="521" t="s">
        <v>99</v>
      </c>
      <c r="F2543" s="518">
        <v>2</v>
      </c>
      <c r="G2543" s="274"/>
      <c r="H2543" s="275"/>
    </row>
    <row r="2544" spans="2:8" ht="14.25">
      <c r="B2544" s="129" t="s">
        <v>3408</v>
      </c>
      <c r="C2544" s="368"/>
      <c r="D2544" s="520" t="s">
        <v>3295</v>
      </c>
      <c r="E2544" s="521" t="s">
        <v>99</v>
      </c>
      <c r="F2544" s="518">
        <v>6</v>
      </c>
      <c r="G2544" s="274"/>
      <c r="H2544" s="275"/>
    </row>
    <row r="2545" spans="2:8" ht="14.25">
      <c r="B2545" s="129" t="s">
        <v>3409</v>
      </c>
      <c r="C2545" s="368"/>
      <c r="D2545" s="520" t="s">
        <v>3297</v>
      </c>
      <c r="E2545" s="521" t="s">
        <v>99</v>
      </c>
      <c r="F2545" s="518">
        <v>70</v>
      </c>
      <c r="G2545" s="274"/>
      <c r="H2545" s="275"/>
    </row>
    <row r="2546" spans="2:8" ht="14.25">
      <c r="B2546" s="129" t="s">
        <v>3410</v>
      </c>
      <c r="C2546" s="368"/>
      <c r="D2546" s="520" t="s">
        <v>3299</v>
      </c>
      <c r="E2546" s="521" t="s">
        <v>99</v>
      </c>
      <c r="F2546" s="518">
        <v>20</v>
      </c>
      <c r="G2546" s="274"/>
      <c r="H2546" s="275"/>
    </row>
    <row r="2547" spans="2:8" ht="38.25">
      <c r="B2547" s="129" t="s">
        <v>3411</v>
      </c>
      <c r="C2547" s="368"/>
      <c r="D2547" s="524" t="s">
        <v>3412</v>
      </c>
      <c r="E2547" s="521"/>
      <c r="F2547" s="518"/>
      <c r="G2547" s="274"/>
      <c r="H2547" s="275"/>
    </row>
    <row r="2548" spans="2:8" ht="38.25">
      <c r="B2548" s="129" t="s">
        <v>3413</v>
      </c>
      <c r="C2548" s="368"/>
      <c r="D2548" s="520" t="s">
        <v>3414</v>
      </c>
      <c r="E2548" s="521" t="s">
        <v>309</v>
      </c>
      <c r="F2548" s="518">
        <v>1</v>
      </c>
      <c r="G2548" s="274"/>
      <c r="H2548" s="275"/>
    </row>
    <row r="2549" spans="2:8" ht="25.5">
      <c r="B2549" s="129" t="s">
        <v>3415</v>
      </c>
      <c r="C2549" s="368"/>
      <c r="D2549" s="520" t="s">
        <v>3416</v>
      </c>
      <c r="E2549" s="521" t="s">
        <v>209</v>
      </c>
      <c r="F2549" s="518">
        <v>32</v>
      </c>
      <c r="G2549" s="274"/>
      <c r="H2549" s="275"/>
    </row>
    <row r="2550" spans="2:8" ht="25.5">
      <c r="B2550" s="129" t="s">
        <v>3417</v>
      </c>
      <c r="C2550" s="368"/>
      <c r="D2550" s="520" t="s">
        <v>3418</v>
      </c>
      <c r="E2550" s="521" t="s">
        <v>209</v>
      </c>
      <c r="F2550" s="518">
        <v>32</v>
      </c>
      <c r="G2550" s="274"/>
      <c r="H2550" s="275"/>
    </row>
    <row r="2551" spans="2:8" ht="14.25">
      <c r="B2551" s="129" t="s">
        <v>3419</v>
      </c>
      <c r="C2551" s="368"/>
      <c r="D2551" s="520" t="s">
        <v>3420</v>
      </c>
      <c r="E2551" s="521" t="s">
        <v>99</v>
      </c>
      <c r="F2551" s="518">
        <v>1</v>
      </c>
      <c r="G2551" s="274"/>
      <c r="H2551" s="275"/>
    </row>
    <row r="2552" spans="2:8" ht="14.25">
      <c r="B2552" s="129" t="s">
        <v>3421</v>
      </c>
      <c r="C2552" s="368"/>
      <c r="D2552" s="520" t="s">
        <v>3422</v>
      </c>
      <c r="E2552" s="521" t="s">
        <v>99</v>
      </c>
      <c r="F2552" s="518">
        <v>1</v>
      </c>
      <c r="G2552" s="274"/>
      <c r="H2552" s="275"/>
    </row>
    <row r="2553" spans="2:8" ht="14.25">
      <c r="B2553" s="129" t="s">
        <v>3423</v>
      </c>
      <c r="C2553" s="368"/>
      <c r="D2553" s="520" t="s">
        <v>3206</v>
      </c>
      <c r="E2553" s="521" t="s">
        <v>99</v>
      </c>
      <c r="F2553" s="518">
        <v>1</v>
      </c>
      <c r="G2553" s="274"/>
      <c r="H2553" s="275"/>
    </row>
    <row r="2554" spans="2:8" ht="14.25">
      <c r="B2554" s="129" t="s">
        <v>3424</v>
      </c>
      <c r="C2554" s="368"/>
      <c r="D2554" s="520" t="s">
        <v>3208</v>
      </c>
      <c r="E2554" s="521" t="s">
        <v>99</v>
      </c>
      <c r="F2554" s="518">
        <v>1</v>
      </c>
      <c r="G2554" s="274"/>
      <c r="H2554" s="275"/>
    </row>
    <row r="2555" spans="2:8" ht="14.25">
      <c r="B2555" s="129" t="s">
        <v>3425</v>
      </c>
      <c r="C2555" s="368"/>
      <c r="D2555" s="520" t="s">
        <v>3293</v>
      </c>
      <c r="E2555" s="521" t="s">
        <v>99</v>
      </c>
      <c r="F2555" s="518">
        <v>2</v>
      </c>
      <c r="G2555" s="274"/>
      <c r="H2555" s="275"/>
    </row>
    <row r="2556" spans="2:8" ht="14.25">
      <c r="B2556" s="129" t="s">
        <v>3426</v>
      </c>
      <c r="C2556" s="368"/>
      <c r="D2556" s="520" t="s">
        <v>3316</v>
      </c>
      <c r="E2556" s="521" t="s">
        <v>99</v>
      </c>
      <c r="F2556" s="518">
        <v>1</v>
      </c>
      <c r="G2556" s="274"/>
      <c r="H2556" s="275"/>
    </row>
    <row r="2557" spans="2:8" ht="14.25">
      <c r="B2557" s="129" t="s">
        <v>3427</v>
      </c>
      <c r="C2557" s="368"/>
      <c r="D2557" s="520" t="s">
        <v>3295</v>
      </c>
      <c r="E2557" s="521" t="s">
        <v>99</v>
      </c>
      <c r="F2557" s="518">
        <v>5</v>
      </c>
      <c r="G2557" s="274"/>
      <c r="H2557" s="275"/>
    </row>
    <row r="2558" spans="2:8" ht="14.25">
      <c r="B2558" s="129" t="s">
        <v>3428</v>
      </c>
      <c r="C2558" s="368"/>
      <c r="D2558" s="520" t="s">
        <v>3297</v>
      </c>
      <c r="E2558" s="521" t="s">
        <v>99</v>
      </c>
      <c r="F2558" s="518">
        <v>44</v>
      </c>
      <c r="G2558" s="274"/>
      <c r="H2558" s="275"/>
    </row>
    <row r="2559" spans="2:8" ht="14.25">
      <c r="B2559" s="129" t="s">
        <v>3429</v>
      </c>
      <c r="C2559" s="368"/>
      <c r="D2559" s="520" t="s">
        <v>3299</v>
      </c>
      <c r="E2559" s="521" t="s">
        <v>99</v>
      </c>
      <c r="F2559" s="518">
        <v>19</v>
      </c>
      <c r="G2559" s="274"/>
      <c r="H2559" s="275"/>
    </row>
    <row r="2560" spans="2:8" ht="38.25">
      <c r="B2560" s="129" t="s">
        <v>3430</v>
      </c>
      <c r="C2560" s="368"/>
      <c r="D2560" s="524" t="s">
        <v>3431</v>
      </c>
      <c r="E2560" s="521"/>
      <c r="F2560" s="518"/>
      <c r="G2560" s="274"/>
      <c r="H2560" s="275"/>
    </row>
    <row r="2561" spans="2:8" ht="38.25">
      <c r="B2561" s="129" t="s">
        <v>3432</v>
      </c>
      <c r="C2561" s="368"/>
      <c r="D2561" s="520" t="s">
        <v>3433</v>
      </c>
      <c r="E2561" s="521" t="s">
        <v>309</v>
      </c>
      <c r="F2561" s="518">
        <v>1</v>
      </c>
      <c r="G2561" s="274"/>
      <c r="H2561" s="275"/>
    </row>
    <row r="2562" spans="2:8" ht="25.5">
      <c r="B2562" s="129" t="s">
        <v>3434</v>
      </c>
      <c r="C2562" s="368"/>
      <c r="D2562" s="520" t="s">
        <v>3435</v>
      </c>
      <c r="E2562" s="521" t="s">
        <v>209</v>
      </c>
      <c r="F2562" s="518">
        <v>36</v>
      </c>
      <c r="G2562" s="274"/>
      <c r="H2562" s="275"/>
    </row>
    <row r="2563" spans="2:8" ht="25.5">
      <c r="B2563" s="129" t="s">
        <v>3436</v>
      </c>
      <c r="C2563" s="368"/>
      <c r="D2563" s="520" t="s">
        <v>3437</v>
      </c>
      <c r="E2563" s="521" t="s">
        <v>209</v>
      </c>
      <c r="F2563" s="518">
        <v>36</v>
      </c>
      <c r="G2563" s="274"/>
      <c r="H2563" s="275"/>
    </row>
    <row r="2564" spans="2:8" ht="14.25">
      <c r="B2564" s="129" t="s">
        <v>3438</v>
      </c>
      <c r="C2564" s="368"/>
      <c r="D2564" s="520" t="s">
        <v>3439</v>
      </c>
      <c r="E2564" s="521" t="s">
        <v>99</v>
      </c>
      <c r="F2564" s="518">
        <v>1</v>
      </c>
      <c r="G2564" s="274"/>
      <c r="H2564" s="275"/>
    </row>
    <row r="2565" spans="2:8" ht="14.25">
      <c r="B2565" s="129" t="s">
        <v>3440</v>
      </c>
      <c r="C2565" s="368"/>
      <c r="D2565" s="520" t="s">
        <v>3441</v>
      </c>
      <c r="E2565" s="521" t="s">
        <v>99</v>
      </c>
      <c r="F2565" s="518">
        <v>1</v>
      </c>
      <c r="G2565" s="274"/>
      <c r="H2565" s="275"/>
    </row>
    <row r="2566" spans="2:8" ht="14.25">
      <c r="B2566" s="129" t="s">
        <v>3442</v>
      </c>
      <c r="C2566" s="368"/>
      <c r="D2566" s="520" t="s">
        <v>3206</v>
      </c>
      <c r="E2566" s="521" t="s">
        <v>99</v>
      </c>
      <c r="F2566" s="518">
        <v>1</v>
      </c>
      <c r="G2566" s="274"/>
      <c r="H2566" s="275"/>
    </row>
    <row r="2567" spans="2:8" ht="14.25">
      <c r="B2567" s="129" t="s">
        <v>3443</v>
      </c>
      <c r="C2567" s="368"/>
      <c r="D2567" s="520" t="s">
        <v>3208</v>
      </c>
      <c r="E2567" s="521" t="s">
        <v>99</v>
      </c>
      <c r="F2567" s="518">
        <v>1</v>
      </c>
      <c r="G2567" s="274"/>
      <c r="H2567" s="275"/>
    </row>
    <row r="2568" spans="2:8" ht="14.25">
      <c r="B2568" s="129" t="s">
        <v>3444</v>
      </c>
      <c r="C2568" s="368"/>
      <c r="D2568" s="520" t="s">
        <v>3293</v>
      </c>
      <c r="E2568" s="521" t="s">
        <v>99</v>
      </c>
      <c r="F2568" s="518">
        <v>2</v>
      </c>
      <c r="G2568" s="274"/>
      <c r="H2568" s="275"/>
    </row>
    <row r="2569" spans="2:8" ht="14.25">
      <c r="B2569" s="129" t="s">
        <v>3445</v>
      </c>
      <c r="C2569" s="368"/>
      <c r="D2569" s="520" t="s">
        <v>3316</v>
      </c>
      <c r="E2569" s="521" t="s">
        <v>99</v>
      </c>
      <c r="F2569" s="518">
        <v>1</v>
      </c>
      <c r="G2569" s="274"/>
      <c r="H2569" s="275"/>
    </row>
    <row r="2570" spans="2:8" ht="14.25">
      <c r="B2570" s="129" t="s">
        <v>3446</v>
      </c>
      <c r="C2570" s="368"/>
      <c r="D2570" s="520" t="s">
        <v>3295</v>
      </c>
      <c r="E2570" s="521" t="s">
        <v>99</v>
      </c>
      <c r="F2570" s="518">
        <v>4</v>
      </c>
      <c r="G2570" s="274"/>
      <c r="H2570" s="275"/>
    </row>
    <row r="2571" spans="2:8" ht="14.25">
      <c r="B2571" s="129" t="s">
        <v>3447</v>
      </c>
      <c r="C2571" s="368"/>
      <c r="D2571" s="520" t="s">
        <v>3297</v>
      </c>
      <c r="E2571" s="521" t="s">
        <v>99</v>
      </c>
      <c r="F2571" s="518">
        <v>37</v>
      </c>
      <c r="G2571" s="274"/>
      <c r="H2571" s="275"/>
    </row>
    <row r="2572" spans="2:8" ht="14.25">
      <c r="B2572" s="129" t="s">
        <v>3448</v>
      </c>
      <c r="C2572" s="368"/>
      <c r="D2572" s="520" t="s">
        <v>3299</v>
      </c>
      <c r="E2572" s="521" t="s">
        <v>99</v>
      </c>
      <c r="F2572" s="518">
        <v>12</v>
      </c>
      <c r="G2572" s="274"/>
      <c r="H2572" s="275"/>
    </row>
    <row r="2573" spans="2:8" ht="38.25">
      <c r="B2573" s="129" t="s">
        <v>3449</v>
      </c>
      <c r="C2573" s="368"/>
      <c r="D2573" s="524" t="s">
        <v>3450</v>
      </c>
      <c r="E2573" s="521"/>
      <c r="F2573" s="518"/>
      <c r="G2573" s="274"/>
      <c r="H2573" s="275"/>
    </row>
    <row r="2574" spans="2:8" ht="38.25">
      <c r="B2574" s="129" t="s">
        <v>3451</v>
      </c>
      <c r="C2574" s="368"/>
      <c r="D2574" s="520" t="s">
        <v>3452</v>
      </c>
      <c r="E2574" s="521" t="s">
        <v>309</v>
      </c>
      <c r="F2574" s="518">
        <v>1</v>
      </c>
      <c r="G2574" s="274"/>
      <c r="H2574" s="275"/>
    </row>
    <row r="2575" spans="2:8" ht="25.5">
      <c r="B2575" s="129" t="s">
        <v>3453</v>
      </c>
      <c r="C2575" s="368"/>
      <c r="D2575" s="520" t="s">
        <v>3454</v>
      </c>
      <c r="E2575" s="521" t="s">
        <v>209</v>
      </c>
      <c r="F2575" s="518">
        <v>40</v>
      </c>
      <c r="G2575" s="274"/>
      <c r="H2575" s="275"/>
    </row>
    <row r="2576" spans="2:8" ht="25.5">
      <c r="B2576" s="129" t="s">
        <v>3455</v>
      </c>
      <c r="C2576" s="368"/>
      <c r="D2576" s="520" t="s">
        <v>3456</v>
      </c>
      <c r="E2576" s="521" t="s">
        <v>209</v>
      </c>
      <c r="F2576" s="518">
        <v>40</v>
      </c>
      <c r="G2576" s="274"/>
      <c r="H2576" s="275"/>
    </row>
    <row r="2577" spans="2:8" ht="14.25">
      <c r="B2577" s="129" t="s">
        <v>3457</v>
      </c>
      <c r="C2577" s="368"/>
      <c r="D2577" s="520" t="s">
        <v>3458</v>
      </c>
      <c r="E2577" s="521" t="s">
        <v>99</v>
      </c>
      <c r="F2577" s="518">
        <v>1</v>
      </c>
      <c r="G2577" s="274"/>
      <c r="H2577" s="275"/>
    </row>
    <row r="2578" spans="2:8" ht="14.25">
      <c r="B2578" s="129" t="s">
        <v>3459</v>
      </c>
      <c r="C2578" s="368"/>
      <c r="D2578" s="520" t="s">
        <v>3460</v>
      </c>
      <c r="E2578" s="521" t="s">
        <v>99</v>
      </c>
      <c r="F2578" s="518">
        <v>1</v>
      </c>
      <c r="G2578" s="274"/>
      <c r="H2578" s="275"/>
    </row>
    <row r="2579" spans="2:8" ht="14.25">
      <c r="B2579" s="129" t="s">
        <v>3461</v>
      </c>
      <c r="C2579" s="368"/>
      <c r="D2579" s="520" t="s">
        <v>3206</v>
      </c>
      <c r="E2579" s="521" t="s">
        <v>99</v>
      </c>
      <c r="F2579" s="518">
        <v>1</v>
      </c>
      <c r="G2579" s="274"/>
      <c r="H2579" s="275"/>
    </row>
    <row r="2580" spans="2:8" ht="14.25">
      <c r="B2580" s="129" t="s">
        <v>3462</v>
      </c>
      <c r="C2580" s="368"/>
      <c r="D2580" s="520" t="s">
        <v>3208</v>
      </c>
      <c r="E2580" s="521" t="s">
        <v>99</v>
      </c>
      <c r="F2580" s="518">
        <v>1</v>
      </c>
      <c r="G2580" s="274"/>
      <c r="H2580" s="275"/>
    </row>
    <row r="2581" spans="2:8" ht="14.25">
      <c r="B2581" s="129" t="s">
        <v>3463</v>
      </c>
      <c r="C2581" s="368"/>
      <c r="D2581" s="520" t="s">
        <v>3293</v>
      </c>
      <c r="E2581" s="521" t="s">
        <v>99</v>
      </c>
      <c r="F2581" s="518">
        <v>2</v>
      </c>
      <c r="G2581" s="274"/>
      <c r="H2581" s="275"/>
    </row>
    <row r="2582" spans="2:8" ht="14.25">
      <c r="B2582" s="129" t="s">
        <v>3464</v>
      </c>
      <c r="C2582" s="368"/>
      <c r="D2582" s="520" t="s">
        <v>3316</v>
      </c>
      <c r="E2582" s="521" t="s">
        <v>99</v>
      </c>
      <c r="F2582" s="518">
        <v>1</v>
      </c>
      <c r="G2582" s="274"/>
      <c r="H2582" s="275"/>
    </row>
    <row r="2583" spans="2:8" ht="14.25">
      <c r="B2583" s="129" t="s">
        <v>3465</v>
      </c>
      <c r="C2583" s="368"/>
      <c r="D2583" s="520" t="s">
        <v>3295</v>
      </c>
      <c r="E2583" s="521" t="s">
        <v>99</v>
      </c>
      <c r="F2583" s="518">
        <v>2</v>
      </c>
      <c r="G2583" s="274"/>
      <c r="H2583" s="275"/>
    </row>
    <row r="2584" spans="2:8" ht="14.25">
      <c r="B2584" s="129" t="s">
        <v>3466</v>
      </c>
      <c r="C2584" s="368"/>
      <c r="D2584" s="520" t="s">
        <v>3297</v>
      </c>
      <c r="E2584" s="521" t="s">
        <v>99</v>
      </c>
      <c r="F2584" s="518">
        <v>19</v>
      </c>
      <c r="G2584" s="274"/>
      <c r="H2584" s="275"/>
    </row>
    <row r="2585" spans="2:8" ht="14.25">
      <c r="B2585" s="129" t="s">
        <v>3467</v>
      </c>
      <c r="C2585" s="368"/>
      <c r="D2585" s="520" t="s">
        <v>3299</v>
      </c>
      <c r="E2585" s="521" t="s">
        <v>99</v>
      </c>
      <c r="F2585" s="518">
        <v>11</v>
      </c>
      <c r="G2585" s="274"/>
      <c r="H2585" s="275"/>
    </row>
    <row r="2586" spans="2:8" ht="38.25">
      <c r="B2586" s="129" t="s">
        <v>3468</v>
      </c>
      <c r="C2586" s="368"/>
      <c r="D2586" s="524" t="s">
        <v>3469</v>
      </c>
      <c r="E2586" s="521"/>
      <c r="F2586" s="518"/>
      <c r="G2586" s="274"/>
      <c r="H2586" s="275"/>
    </row>
    <row r="2587" spans="2:8" ht="38.25">
      <c r="B2587" s="129" t="s">
        <v>3470</v>
      </c>
      <c r="C2587" s="368"/>
      <c r="D2587" s="520" t="s">
        <v>3471</v>
      </c>
      <c r="E2587" s="521" t="s">
        <v>309</v>
      </c>
      <c r="F2587" s="518">
        <v>1</v>
      </c>
      <c r="G2587" s="274"/>
      <c r="H2587" s="275"/>
    </row>
    <row r="2588" spans="2:8" ht="25.5">
      <c r="B2588" s="129" t="s">
        <v>3472</v>
      </c>
      <c r="C2588" s="368"/>
      <c r="D2588" s="520" t="s">
        <v>3473</v>
      </c>
      <c r="E2588" s="521" t="s">
        <v>209</v>
      </c>
      <c r="F2588" s="518">
        <v>50</v>
      </c>
      <c r="G2588" s="274"/>
      <c r="H2588" s="275"/>
    </row>
    <row r="2589" spans="2:8" ht="14.25">
      <c r="B2589" s="129" t="s">
        <v>3474</v>
      </c>
      <c r="C2589" s="368"/>
      <c r="D2589" s="520" t="s">
        <v>3441</v>
      </c>
      <c r="E2589" s="521" t="s">
        <v>99</v>
      </c>
      <c r="F2589" s="518">
        <v>1</v>
      </c>
      <c r="G2589" s="274"/>
      <c r="H2589" s="275"/>
    </row>
    <row r="2590" spans="2:8" ht="14.25">
      <c r="B2590" s="129" t="s">
        <v>3475</v>
      </c>
      <c r="C2590" s="368"/>
      <c r="D2590" s="520" t="s">
        <v>3208</v>
      </c>
      <c r="E2590" s="521" t="s">
        <v>99</v>
      </c>
      <c r="F2590" s="518">
        <v>1</v>
      </c>
      <c r="G2590" s="274"/>
      <c r="H2590" s="275"/>
    </row>
    <row r="2591" spans="2:8" ht="14.25">
      <c r="B2591" s="129" t="s">
        <v>3476</v>
      </c>
      <c r="C2591" s="368"/>
      <c r="D2591" s="520" t="s">
        <v>3477</v>
      </c>
      <c r="E2591" s="521" t="s">
        <v>99</v>
      </c>
      <c r="F2591" s="518">
        <v>5</v>
      </c>
      <c r="G2591" s="274"/>
      <c r="H2591" s="275"/>
    </row>
    <row r="2592" spans="2:8" ht="14.25">
      <c r="B2592" s="129" t="s">
        <v>3478</v>
      </c>
      <c r="C2592" s="368"/>
      <c r="D2592" s="520" t="s">
        <v>3297</v>
      </c>
      <c r="E2592" s="521" t="s">
        <v>99</v>
      </c>
      <c r="F2592" s="518">
        <v>2</v>
      </c>
      <c r="G2592" s="274"/>
      <c r="H2592" s="275"/>
    </row>
    <row r="2593" spans="2:8" ht="14.25">
      <c r="B2593" s="129" t="s">
        <v>3479</v>
      </c>
      <c r="C2593" s="368"/>
      <c r="D2593" s="520" t="s">
        <v>3299</v>
      </c>
      <c r="E2593" s="521" t="s">
        <v>99</v>
      </c>
      <c r="F2593" s="518">
        <v>2</v>
      </c>
      <c r="G2593" s="274"/>
      <c r="H2593" s="275"/>
    </row>
    <row r="2594" spans="2:8" ht="38.25">
      <c r="B2594" s="129" t="s">
        <v>3480</v>
      </c>
      <c r="C2594" s="368"/>
      <c r="D2594" s="524" t="s">
        <v>3481</v>
      </c>
      <c r="E2594" s="521"/>
      <c r="F2594" s="518"/>
      <c r="G2594" s="274"/>
      <c r="H2594" s="275"/>
    </row>
    <row r="2595" spans="2:8" ht="38.25">
      <c r="B2595" s="129" t="s">
        <v>3482</v>
      </c>
      <c r="C2595" s="368"/>
      <c r="D2595" s="520" t="s">
        <v>3483</v>
      </c>
      <c r="E2595" s="521" t="s">
        <v>309</v>
      </c>
      <c r="F2595" s="518">
        <v>1</v>
      </c>
      <c r="G2595" s="274"/>
      <c r="H2595" s="275"/>
    </row>
    <row r="2596" spans="2:8" ht="25.5">
      <c r="B2596" s="129" t="s">
        <v>3484</v>
      </c>
      <c r="C2596" s="368"/>
      <c r="D2596" s="520" t="s">
        <v>3485</v>
      </c>
      <c r="E2596" s="521" t="s">
        <v>209</v>
      </c>
      <c r="F2596" s="518">
        <v>120</v>
      </c>
      <c r="G2596" s="274"/>
      <c r="H2596" s="275"/>
    </row>
    <row r="2597" spans="2:8" ht="14.25">
      <c r="B2597" s="129" t="s">
        <v>3486</v>
      </c>
      <c r="C2597" s="368"/>
      <c r="D2597" s="520" t="s">
        <v>3331</v>
      </c>
      <c r="E2597" s="521" t="s">
        <v>99</v>
      </c>
      <c r="F2597" s="518">
        <v>1</v>
      </c>
      <c r="G2597" s="274"/>
      <c r="H2597" s="275"/>
    </row>
    <row r="2598" spans="2:8" ht="14.25">
      <c r="B2598" s="129" t="s">
        <v>3487</v>
      </c>
      <c r="C2598" s="368"/>
      <c r="D2598" s="520" t="s">
        <v>3208</v>
      </c>
      <c r="E2598" s="521" t="s">
        <v>99</v>
      </c>
      <c r="F2598" s="518">
        <v>1</v>
      </c>
      <c r="G2598" s="274"/>
      <c r="H2598" s="275"/>
    </row>
    <row r="2599" spans="2:8" ht="14.25">
      <c r="B2599" s="129" t="s">
        <v>3488</v>
      </c>
      <c r="C2599" s="368"/>
      <c r="D2599" s="520" t="s">
        <v>3337</v>
      </c>
      <c r="E2599" s="521" t="s">
        <v>99</v>
      </c>
      <c r="F2599" s="518">
        <v>2</v>
      </c>
      <c r="G2599" s="274"/>
      <c r="H2599" s="275"/>
    </row>
    <row r="2600" spans="2:8" ht="38.25">
      <c r="B2600" s="129" t="s">
        <v>3489</v>
      </c>
      <c r="C2600" s="368"/>
      <c r="D2600" s="524" t="s">
        <v>3490</v>
      </c>
      <c r="E2600" s="521"/>
      <c r="F2600" s="518"/>
      <c r="G2600" s="274"/>
      <c r="H2600" s="275"/>
    </row>
    <row r="2601" spans="2:8" ht="38.25">
      <c r="B2601" s="129" t="s">
        <v>3491</v>
      </c>
      <c r="C2601" s="368"/>
      <c r="D2601" s="520" t="s">
        <v>3492</v>
      </c>
      <c r="E2601" s="521" t="s">
        <v>309</v>
      </c>
      <c r="F2601" s="518">
        <v>1</v>
      </c>
      <c r="G2601" s="274"/>
      <c r="H2601" s="275"/>
    </row>
    <row r="2602" spans="2:8" ht="14.25">
      <c r="B2602" s="129" t="s">
        <v>3493</v>
      </c>
      <c r="C2602" s="368"/>
      <c r="D2602" s="520" t="s">
        <v>3494</v>
      </c>
      <c r="E2602" s="521" t="s">
        <v>209</v>
      </c>
      <c r="F2602" s="518">
        <v>10</v>
      </c>
      <c r="G2602" s="274"/>
      <c r="H2602" s="275"/>
    </row>
    <row r="2603" spans="2:8" ht="25.5">
      <c r="B2603" s="129" t="s">
        <v>3495</v>
      </c>
      <c r="C2603" s="368"/>
      <c r="D2603" s="520" t="s">
        <v>3496</v>
      </c>
      <c r="E2603" s="521" t="s">
        <v>209</v>
      </c>
      <c r="F2603" s="518">
        <v>10</v>
      </c>
      <c r="G2603" s="274"/>
      <c r="H2603" s="275"/>
    </row>
    <row r="2604" spans="2:8" ht="14.25">
      <c r="B2604" s="129" t="s">
        <v>3497</v>
      </c>
      <c r="C2604" s="368"/>
      <c r="D2604" s="520" t="s">
        <v>3498</v>
      </c>
      <c r="E2604" s="521" t="s">
        <v>99</v>
      </c>
      <c r="F2604" s="518">
        <v>1</v>
      </c>
      <c r="G2604" s="274"/>
      <c r="H2604" s="275"/>
    </row>
    <row r="2605" spans="2:8" ht="14.25">
      <c r="B2605" s="129" t="s">
        <v>3499</v>
      </c>
      <c r="C2605" s="368"/>
      <c r="D2605" s="520" t="s">
        <v>3404</v>
      </c>
      <c r="E2605" s="521" t="s">
        <v>99</v>
      </c>
      <c r="F2605" s="518">
        <v>1</v>
      </c>
      <c r="G2605" s="274"/>
      <c r="H2605" s="275"/>
    </row>
    <row r="2606" spans="2:8" ht="14.25">
      <c r="B2606" s="129" t="s">
        <v>3500</v>
      </c>
      <c r="C2606" s="368"/>
      <c r="D2606" s="520" t="s">
        <v>3206</v>
      </c>
      <c r="E2606" s="521" t="s">
        <v>99</v>
      </c>
      <c r="F2606" s="518">
        <v>1</v>
      </c>
      <c r="G2606" s="274"/>
      <c r="H2606" s="275"/>
    </row>
    <row r="2607" spans="2:8" ht="14.25">
      <c r="B2607" s="129" t="s">
        <v>3501</v>
      </c>
      <c r="C2607" s="368"/>
      <c r="D2607" s="520" t="s">
        <v>3208</v>
      </c>
      <c r="E2607" s="521" t="s">
        <v>99</v>
      </c>
      <c r="F2607" s="518">
        <v>1</v>
      </c>
      <c r="G2607" s="274"/>
      <c r="H2607" s="275"/>
    </row>
    <row r="2608" spans="2:8" ht="14.25">
      <c r="B2608" s="129" t="s">
        <v>3502</v>
      </c>
      <c r="C2608" s="368"/>
      <c r="D2608" s="520" t="s">
        <v>3503</v>
      </c>
      <c r="E2608" s="521" t="s">
        <v>99</v>
      </c>
      <c r="F2608" s="518">
        <v>1</v>
      </c>
      <c r="G2608" s="274"/>
      <c r="H2608" s="275"/>
    </row>
    <row r="2609" spans="2:8" ht="14.25">
      <c r="B2609" s="129" t="s">
        <v>3504</v>
      </c>
      <c r="C2609" s="368"/>
      <c r="D2609" s="520" t="s">
        <v>3222</v>
      </c>
      <c r="E2609" s="521" t="s">
        <v>99</v>
      </c>
      <c r="F2609" s="518">
        <v>1</v>
      </c>
      <c r="G2609" s="274"/>
      <c r="H2609" s="275"/>
    </row>
    <row r="2610" spans="2:8" ht="14.25">
      <c r="B2610" s="129" t="s">
        <v>3505</v>
      </c>
      <c r="C2610" s="368"/>
      <c r="D2610" s="520" t="s">
        <v>3276</v>
      </c>
      <c r="E2610" s="521" t="s">
        <v>99</v>
      </c>
      <c r="F2610" s="518">
        <v>1</v>
      </c>
      <c r="G2610" s="274"/>
      <c r="H2610" s="275"/>
    </row>
    <row r="2611" spans="2:8" ht="14.25">
      <c r="B2611" s="129" t="s">
        <v>3506</v>
      </c>
      <c r="C2611" s="368"/>
      <c r="D2611" s="520" t="s">
        <v>3477</v>
      </c>
      <c r="E2611" s="521" t="s">
        <v>99</v>
      </c>
      <c r="F2611" s="518">
        <v>10</v>
      </c>
      <c r="G2611" s="274"/>
      <c r="H2611" s="275"/>
    </row>
    <row r="2612" spans="2:8" ht="14.25">
      <c r="B2612" s="129" t="s">
        <v>3507</v>
      </c>
      <c r="C2612" s="368"/>
      <c r="D2612" s="520" t="s">
        <v>3297</v>
      </c>
      <c r="E2612" s="521" t="s">
        <v>99</v>
      </c>
      <c r="F2612" s="518">
        <v>7</v>
      </c>
      <c r="G2612" s="274"/>
      <c r="H2612" s="275"/>
    </row>
    <row r="2613" spans="2:8" ht="14.25">
      <c r="B2613" s="129" t="s">
        <v>3508</v>
      </c>
      <c r="C2613" s="519"/>
      <c r="D2613" s="520" t="s">
        <v>3299</v>
      </c>
      <c r="E2613" s="521" t="s">
        <v>99</v>
      </c>
      <c r="F2613" s="518">
        <v>1</v>
      </c>
      <c r="G2613" s="522"/>
      <c r="H2613" s="523"/>
    </row>
    <row r="2614" spans="2:8" ht="38.25">
      <c r="B2614" s="129" t="s">
        <v>3509</v>
      </c>
      <c r="C2614" s="368"/>
      <c r="D2614" s="524" t="s">
        <v>3510</v>
      </c>
      <c r="E2614" s="521"/>
      <c r="F2614" s="518"/>
      <c r="G2614" s="274"/>
      <c r="H2614" s="275"/>
    </row>
    <row r="2615" spans="2:8" ht="38.25">
      <c r="B2615" s="129" t="s">
        <v>3511</v>
      </c>
      <c r="C2615" s="368"/>
      <c r="D2615" s="520" t="s">
        <v>3398</v>
      </c>
      <c r="E2615" s="521" t="s">
        <v>309</v>
      </c>
      <c r="F2615" s="518">
        <v>1</v>
      </c>
      <c r="G2615" s="274"/>
      <c r="H2615" s="275"/>
    </row>
    <row r="2616" spans="2:8" ht="25.5">
      <c r="B2616" s="129" t="s">
        <v>3512</v>
      </c>
      <c r="C2616" s="368"/>
      <c r="D2616" s="520" t="s">
        <v>3513</v>
      </c>
      <c r="E2616" s="521" t="s">
        <v>209</v>
      </c>
      <c r="F2616" s="518">
        <v>120</v>
      </c>
      <c r="G2616" s="274"/>
      <c r="H2616" s="275"/>
    </row>
    <row r="2617" spans="2:8" ht="25.5">
      <c r="B2617" s="129" t="s">
        <v>3514</v>
      </c>
      <c r="C2617" s="368"/>
      <c r="D2617" s="520" t="s">
        <v>3515</v>
      </c>
      <c r="E2617" s="521" t="s">
        <v>209</v>
      </c>
      <c r="F2617" s="518">
        <v>120</v>
      </c>
      <c r="G2617" s="274"/>
      <c r="H2617" s="275"/>
    </row>
    <row r="2618" spans="2:8" ht="14.25">
      <c r="B2618" s="129" t="s">
        <v>3516</v>
      </c>
      <c r="C2618" s="368"/>
      <c r="D2618" s="520" t="s">
        <v>3370</v>
      </c>
      <c r="E2618" s="521" t="s">
        <v>99</v>
      </c>
      <c r="F2618" s="518">
        <v>1</v>
      </c>
      <c r="G2618" s="274"/>
      <c r="H2618" s="275"/>
    </row>
    <row r="2619" spans="2:8" ht="14.25">
      <c r="B2619" s="129" t="s">
        <v>3517</v>
      </c>
      <c r="C2619" s="368"/>
      <c r="D2619" s="520" t="s">
        <v>3404</v>
      </c>
      <c r="E2619" s="521" t="s">
        <v>99</v>
      </c>
      <c r="F2619" s="518">
        <v>1</v>
      </c>
      <c r="G2619" s="274"/>
      <c r="H2619" s="275"/>
    </row>
    <row r="2620" spans="2:8" ht="14.25">
      <c r="B2620" s="129" t="s">
        <v>3518</v>
      </c>
      <c r="C2620" s="368"/>
      <c r="D2620" s="520" t="s">
        <v>3206</v>
      </c>
      <c r="E2620" s="521" t="s">
        <v>99</v>
      </c>
      <c r="F2620" s="518">
        <v>1</v>
      </c>
      <c r="G2620" s="274"/>
      <c r="H2620" s="275"/>
    </row>
    <row r="2621" spans="2:8" ht="14.25">
      <c r="B2621" s="129" t="s">
        <v>3519</v>
      </c>
      <c r="C2621" s="368"/>
      <c r="D2621" s="520" t="s">
        <v>3208</v>
      </c>
      <c r="E2621" s="521" t="s">
        <v>99</v>
      </c>
      <c r="F2621" s="518">
        <v>1</v>
      </c>
      <c r="G2621" s="274"/>
      <c r="H2621" s="275"/>
    </row>
    <row r="2622" spans="2:8" ht="14.25">
      <c r="B2622" s="129" t="s">
        <v>3520</v>
      </c>
      <c r="C2622" s="368"/>
      <c r="D2622" s="520" t="s">
        <v>3521</v>
      </c>
      <c r="E2622" s="521" t="s">
        <v>99</v>
      </c>
      <c r="F2622" s="518">
        <v>1</v>
      </c>
      <c r="G2622" s="274"/>
      <c r="H2622" s="275"/>
    </row>
    <row r="2623" spans="2:8" ht="14.25">
      <c r="B2623" s="129" t="s">
        <v>3522</v>
      </c>
      <c r="C2623" s="368"/>
      <c r="D2623" s="520" t="s">
        <v>3216</v>
      </c>
      <c r="E2623" s="521" t="s">
        <v>99</v>
      </c>
      <c r="F2623" s="518">
        <v>1</v>
      </c>
      <c r="G2623" s="274"/>
      <c r="H2623" s="275"/>
    </row>
    <row r="2624" spans="2:8" ht="14.25">
      <c r="B2624" s="129" t="s">
        <v>3523</v>
      </c>
      <c r="C2624" s="368"/>
      <c r="D2624" s="520" t="s">
        <v>3524</v>
      </c>
      <c r="E2624" s="521" t="s">
        <v>99</v>
      </c>
      <c r="F2624" s="518">
        <v>2</v>
      </c>
      <c r="G2624" s="274"/>
      <c r="H2624" s="275"/>
    </row>
    <row r="2625" spans="2:8" ht="14.25">
      <c r="B2625" s="129" t="s">
        <v>3525</v>
      </c>
      <c r="C2625" s="368"/>
      <c r="D2625" s="520" t="s">
        <v>3526</v>
      </c>
      <c r="E2625" s="521" t="s">
        <v>99</v>
      </c>
      <c r="F2625" s="518">
        <v>2</v>
      </c>
      <c r="G2625" s="274"/>
      <c r="H2625" s="275"/>
    </row>
    <row r="2626" spans="2:8" ht="14.25">
      <c r="B2626" s="129" t="s">
        <v>3527</v>
      </c>
      <c r="C2626" s="368"/>
      <c r="D2626" s="520" t="s">
        <v>3295</v>
      </c>
      <c r="E2626" s="521" t="s">
        <v>99</v>
      </c>
      <c r="F2626" s="518">
        <v>2</v>
      </c>
      <c r="G2626" s="274"/>
      <c r="H2626" s="275"/>
    </row>
    <row r="2627" spans="2:8" ht="14.25">
      <c r="B2627" s="129" t="s">
        <v>3528</v>
      </c>
      <c r="C2627" s="368"/>
      <c r="D2627" s="520" t="s">
        <v>3297</v>
      </c>
      <c r="E2627" s="521" t="s">
        <v>99</v>
      </c>
      <c r="F2627" s="518">
        <v>12</v>
      </c>
      <c r="G2627" s="274"/>
      <c r="H2627" s="275"/>
    </row>
    <row r="2628" spans="2:8" ht="14.25">
      <c r="B2628" s="129" t="s">
        <v>3529</v>
      </c>
      <c r="C2628" s="519"/>
      <c r="D2628" s="520" t="s">
        <v>3299</v>
      </c>
      <c r="E2628" s="521" t="s">
        <v>99</v>
      </c>
      <c r="F2628" s="518">
        <v>10</v>
      </c>
      <c r="G2628" s="522"/>
      <c r="H2628" s="523"/>
    </row>
    <row r="2629" spans="2:8" ht="38.25">
      <c r="B2629" s="129" t="s">
        <v>3530</v>
      </c>
      <c r="C2629" s="368"/>
      <c r="D2629" s="524" t="s">
        <v>3531</v>
      </c>
      <c r="E2629" s="521"/>
      <c r="F2629" s="518"/>
      <c r="G2629" s="274"/>
      <c r="H2629" s="275"/>
    </row>
    <row r="2630" spans="2:8" ht="38.25">
      <c r="B2630" s="129" t="s">
        <v>3532</v>
      </c>
      <c r="C2630" s="368"/>
      <c r="D2630" s="520" t="s">
        <v>3533</v>
      </c>
      <c r="E2630" s="521" t="s">
        <v>309</v>
      </c>
      <c r="F2630" s="518">
        <v>1</v>
      </c>
      <c r="G2630" s="274"/>
      <c r="H2630" s="275"/>
    </row>
    <row r="2631" spans="2:8" ht="25.5">
      <c r="B2631" s="129" t="s">
        <v>3534</v>
      </c>
      <c r="C2631" s="368"/>
      <c r="D2631" s="520" t="s">
        <v>3535</v>
      </c>
      <c r="E2631" s="521" t="s">
        <v>209</v>
      </c>
      <c r="F2631" s="518">
        <v>8</v>
      </c>
      <c r="G2631" s="274"/>
      <c r="H2631" s="275"/>
    </row>
    <row r="2632" spans="2:8" ht="25.5">
      <c r="B2632" s="129" t="s">
        <v>3536</v>
      </c>
      <c r="C2632" s="368"/>
      <c r="D2632" s="520" t="s">
        <v>3537</v>
      </c>
      <c r="E2632" s="521" t="s">
        <v>209</v>
      </c>
      <c r="F2632" s="518">
        <v>8</v>
      </c>
      <c r="G2632" s="274"/>
      <c r="H2632" s="275"/>
    </row>
    <row r="2633" spans="2:8" ht="14.25">
      <c r="B2633" s="129" t="s">
        <v>3538</v>
      </c>
      <c r="C2633" s="368"/>
      <c r="D2633" s="520" t="s">
        <v>3539</v>
      </c>
      <c r="E2633" s="521" t="s">
        <v>99</v>
      </c>
      <c r="F2633" s="518">
        <v>1</v>
      </c>
      <c r="G2633" s="274"/>
      <c r="H2633" s="275"/>
    </row>
    <row r="2634" spans="2:8" ht="14.25">
      <c r="B2634" s="129" t="s">
        <v>3540</v>
      </c>
      <c r="C2634" s="368"/>
      <c r="D2634" s="520" t="s">
        <v>3404</v>
      </c>
      <c r="E2634" s="521" t="s">
        <v>99</v>
      </c>
      <c r="F2634" s="518">
        <v>1</v>
      </c>
      <c r="G2634" s="274"/>
      <c r="H2634" s="275"/>
    </row>
    <row r="2635" spans="2:8" ht="14.25">
      <c r="B2635" s="129" t="s">
        <v>3541</v>
      </c>
      <c r="C2635" s="368"/>
      <c r="D2635" s="520" t="s">
        <v>3206</v>
      </c>
      <c r="E2635" s="521" t="s">
        <v>99</v>
      </c>
      <c r="F2635" s="518">
        <v>1</v>
      </c>
      <c r="G2635" s="274"/>
      <c r="H2635" s="275"/>
    </row>
    <row r="2636" spans="2:8" ht="14.25">
      <c r="B2636" s="129" t="s">
        <v>3542</v>
      </c>
      <c r="C2636" s="368"/>
      <c r="D2636" s="520" t="s">
        <v>3208</v>
      </c>
      <c r="E2636" s="521" t="s">
        <v>99</v>
      </c>
      <c r="F2636" s="518">
        <v>1</v>
      </c>
      <c r="G2636" s="274"/>
      <c r="H2636" s="275"/>
    </row>
    <row r="2637" spans="2:8" ht="14.25">
      <c r="B2637" s="129" t="s">
        <v>3543</v>
      </c>
      <c r="C2637" s="368"/>
      <c r="D2637" s="520" t="s">
        <v>3293</v>
      </c>
      <c r="E2637" s="521" t="s">
        <v>99</v>
      </c>
      <c r="F2637" s="518">
        <v>1</v>
      </c>
      <c r="G2637" s="274"/>
      <c r="H2637" s="275"/>
    </row>
    <row r="2638" spans="2:8" ht="14.25">
      <c r="B2638" s="129" t="s">
        <v>3544</v>
      </c>
      <c r="C2638" s="368"/>
      <c r="D2638" s="520" t="s">
        <v>3545</v>
      </c>
      <c r="E2638" s="521" t="s">
        <v>99</v>
      </c>
      <c r="F2638" s="518">
        <v>2</v>
      </c>
      <c r="G2638" s="274"/>
      <c r="H2638" s="275"/>
    </row>
    <row r="2639" spans="2:8" ht="14.25">
      <c r="B2639" s="129" t="s">
        <v>3546</v>
      </c>
      <c r="C2639" s="368"/>
      <c r="D2639" s="520" t="s">
        <v>3547</v>
      </c>
      <c r="E2639" s="521" t="s">
        <v>99</v>
      </c>
      <c r="F2639" s="518">
        <v>1</v>
      </c>
      <c r="G2639" s="274"/>
      <c r="H2639" s="275"/>
    </row>
    <row r="2640" spans="2:8" ht="14.25">
      <c r="B2640" s="129" t="s">
        <v>3548</v>
      </c>
      <c r="C2640" s="368"/>
      <c r="D2640" s="520" t="s">
        <v>3295</v>
      </c>
      <c r="E2640" s="521" t="s">
        <v>99</v>
      </c>
      <c r="F2640" s="518">
        <v>2</v>
      </c>
      <c r="G2640" s="274"/>
      <c r="H2640" s="275"/>
    </row>
    <row r="2641" spans="2:8" ht="14.25">
      <c r="B2641" s="129" t="s">
        <v>3549</v>
      </c>
      <c r="C2641" s="519"/>
      <c r="D2641" s="520" t="s">
        <v>3297</v>
      </c>
      <c r="E2641" s="521" t="s">
        <v>99</v>
      </c>
      <c r="F2641" s="518">
        <v>14</v>
      </c>
      <c r="G2641" s="522"/>
      <c r="H2641" s="523"/>
    </row>
    <row r="2642" spans="2:8" ht="14.25">
      <c r="B2642" s="129" t="s">
        <v>3550</v>
      </c>
      <c r="C2642" s="519"/>
      <c r="D2642" s="520" t="s">
        <v>3299</v>
      </c>
      <c r="E2642" s="521" t="s">
        <v>99</v>
      </c>
      <c r="F2642" s="518">
        <v>5</v>
      </c>
      <c r="G2642" s="522"/>
      <c r="H2642" s="523"/>
    </row>
    <row r="2643" spans="2:8" ht="38.25">
      <c r="B2643" s="129" t="s">
        <v>3551</v>
      </c>
      <c r="C2643" s="368"/>
      <c r="D2643" s="524" t="s">
        <v>3552</v>
      </c>
      <c r="E2643" s="521"/>
      <c r="F2643" s="518"/>
      <c r="G2643" s="274"/>
      <c r="H2643" s="275"/>
    </row>
    <row r="2644" spans="2:8" ht="38.25">
      <c r="B2644" s="129" t="s">
        <v>3553</v>
      </c>
      <c r="C2644" s="368"/>
      <c r="D2644" s="520" t="s">
        <v>3554</v>
      </c>
      <c r="E2644" s="521" t="s">
        <v>309</v>
      </c>
      <c r="F2644" s="518">
        <v>1</v>
      </c>
      <c r="G2644" s="274"/>
      <c r="H2644" s="275"/>
    </row>
    <row r="2645" spans="2:8" ht="14.25">
      <c r="B2645" s="129" t="s">
        <v>3555</v>
      </c>
      <c r="C2645" s="368"/>
      <c r="D2645" s="520" t="s">
        <v>3556</v>
      </c>
      <c r="E2645" s="521" t="s">
        <v>209</v>
      </c>
      <c r="F2645" s="518">
        <v>12</v>
      </c>
      <c r="G2645" s="274"/>
      <c r="H2645" s="275"/>
    </row>
    <row r="2646" spans="2:8" ht="14.25">
      <c r="B2646" s="129" t="s">
        <v>3557</v>
      </c>
      <c r="C2646" s="368"/>
      <c r="D2646" s="520" t="s">
        <v>3460</v>
      </c>
      <c r="E2646" s="521" t="s">
        <v>99</v>
      </c>
      <c r="F2646" s="518">
        <v>1</v>
      </c>
      <c r="G2646" s="274"/>
      <c r="H2646" s="275"/>
    </row>
    <row r="2647" spans="2:8" ht="14.25">
      <c r="B2647" s="129" t="s">
        <v>3558</v>
      </c>
      <c r="C2647" s="368"/>
      <c r="D2647" s="520" t="s">
        <v>3208</v>
      </c>
      <c r="E2647" s="521" t="s">
        <v>99</v>
      </c>
      <c r="F2647" s="518">
        <v>1</v>
      </c>
      <c r="G2647" s="274"/>
      <c r="H2647" s="275"/>
    </row>
    <row r="2648" spans="2:8" ht="14.25">
      <c r="B2648" s="129" t="s">
        <v>3559</v>
      </c>
      <c r="C2648" s="368"/>
      <c r="D2648" s="520" t="s">
        <v>3335</v>
      </c>
      <c r="E2648" s="521" t="s">
        <v>99</v>
      </c>
      <c r="F2648" s="518">
        <v>3</v>
      </c>
      <c r="G2648" s="274"/>
      <c r="H2648" s="275"/>
    </row>
    <row r="2649" spans="2:8" ht="14.25">
      <c r="B2649" s="129" t="s">
        <v>3560</v>
      </c>
      <c r="C2649" s="368"/>
      <c r="D2649" s="520" t="s">
        <v>3297</v>
      </c>
      <c r="E2649" s="521" t="s">
        <v>99</v>
      </c>
      <c r="F2649" s="518">
        <v>5</v>
      </c>
      <c r="G2649" s="274"/>
      <c r="H2649" s="275"/>
    </row>
    <row r="2650" spans="2:8" ht="14.25">
      <c r="B2650" s="129" t="s">
        <v>3561</v>
      </c>
      <c r="C2650" s="368"/>
      <c r="D2650" s="520" t="s">
        <v>3299</v>
      </c>
      <c r="E2650" s="521" t="s">
        <v>99</v>
      </c>
      <c r="F2650" s="518">
        <v>26</v>
      </c>
      <c r="G2650" s="274"/>
      <c r="H2650" s="275"/>
    </row>
    <row r="2651" spans="2:8" ht="51">
      <c r="B2651" s="129" t="s">
        <v>3562</v>
      </c>
      <c r="C2651" s="368"/>
      <c r="D2651" s="524" t="s">
        <v>3563</v>
      </c>
      <c r="E2651" s="521"/>
      <c r="F2651" s="518"/>
      <c r="G2651" s="274"/>
      <c r="H2651" s="275"/>
    </row>
    <row r="2652" spans="2:8" ht="38.25">
      <c r="B2652" s="129" t="s">
        <v>3564</v>
      </c>
      <c r="C2652" s="368"/>
      <c r="D2652" s="520" t="s">
        <v>3565</v>
      </c>
      <c r="E2652" s="521" t="s">
        <v>309</v>
      </c>
      <c r="F2652" s="518">
        <v>1</v>
      </c>
      <c r="G2652" s="274"/>
      <c r="H2652" s="275"/>
    </row>
    <row r="2653" spans="2:8" ht="25.5">
      <c r="B2653" s="129" t="s">
        <v>3566</v>
      </c>
      <c r="C2653" s="368"/>
      <c r="D2653" s="520" t="s">
        <v>3567</v>
      </c>
      <c r="E2653" s="521" t="s">
        <v>209</v>
      </c>
      <c r="F2653" s="518">
        <v>12</v>
      </c>
      <c r="G2653" s="274"/>
      <c r="H2653" s="275"/>
    </row>
    <row r="2654" spans="2:8" ht="14.25">
      <c r="B2654" s="129" t="s">
        <v>3568</v>
      </c>
      <c r="C2654" s="368"/>
      <c r="D2654" s="520" t="s">
        <v>3422</v>
      </c>
      <c r="E2654" s="521" t="s">
        <v>99</v>
      </c>
      <c r="F2654" s="518">
        <v>1</v>
      </c>
      <c r="G2654" s="274"/>
      <c r="H2654" s="275"/>
    </row>
    <row r="2655" spans="2:8" ht="14.25">
      <c r="B2655" s="129" t="s">
        <v>3569</v>
      </c>
      <c r="C2655" s="368"/>
      <c r="D2655" s="520" t="s">
        <v>3208</v>
      </c>
      <c r="E2655" s="521" t="s">
        <v>99</v>
      </c>
      <c r="F2655" s="518">
        <v>1</v>
      </c>
      <c r="G2655" s="274"/>
      <c r="H2655" s="275"/>
    </row>
    <row r="2656" spans="2:8" ht="14.25">
      <c r="B2656" s="129" t="s">
        <v>3570</v>
      </c>
      <c r="C2656" s="368"/>
      <c r="D2656" s="520" t="s">
        <v>3276</v>
      </c>
      <c r="E2656" s="521" t="s">
        <v>99</v>
      </c>
      <c r="F2656" s="518">
        <v>2</v>
      </c>
      <c r="G2656" s="274"/>
      <c r="H2656" s="275"/>
    </row>
    <row r="2657" spans="2:8" ht="38.25">
      <c r="B2657" s="129" t="s">
        <v>3571</v>
      </c>
      <c r="C2657" s="368"/>
      <c r="D2657" s="524" t="s">
        <v>3572</v>
      </c>
      <c r="E2657" s="521"/>
      <c r="F2657" s="518"/>
      <c r="G2657" s="274"/>
      <c r="H2657" s="275"/>
    </row>
    <row r="2658" spans="2:8" ht="38.25">
      <c r="B2658" s="129" t="s">
        <v>3573</v>
      </c>
      <c r="C2658" s="368"/>
      <c r="D2658" s="520" t="s">
        <v>3574</v>
      </c>
      <c r="E2658" s="521" t="s">
        <v>309</v>
      </c>
      <c r="F2658" s="518">
        <v>1</v>
      </c>
      <c r="G2658" s="274"/>
      <c r="H2658" s="275"/>
    </row>
    <row r="2659" spans="2:8" ht="25.5">
      <c r="B2659" s="129" t="s">
        <v>3575</v>
      </c>
      <c r="C2659" s="368"/>
      <c r="D2659" s="520" t="s">
        <v>3576</v>
      </c>
      <c r="E2659" s="521" t="s">
        <v>209</v>
      </c>
      <c r="F2659" s="518">
        <v>6</v>
      </c>
      <c r="G2659" s="274"/>
      <c r="H2659" s="275"/>
    </row>
    <row r="2660" spans="2:8" ht="14.25">
      <c r="B2660" s="129" t="s">
        <v>3577</v>
      </c>
      <c r="C2660" s="368"/>
      <c r="D2660" s="520" t="s">
        <v>3311</v>
      </c>
      <c r="E2660" s="521" t="s">
        <v>99</v>
      </c>
      <c r="F2660" s="518">
        <v>1</v>
      </c>
      <c r="G2660" s="274"/>
      <c r="H2660" s="275"/>
    </row>
    <row r="2661" spans="2:8" ht="38.25">
      <c r="B2661" s="129" t="s">
        <v>3578</v>
      </c>
      <c r="C2661" s="368"/>
      <c r="D2661" s="524" t="s">
        <v>3579</v>
      </c>
      <c r="E2661" s="521"/>
      <c r="F2661" s="518"/>
      <c r="G2661" s="274"/>
      <c r="H2661" s="275"/>
    </row>
    <row r="2662" spans="2:8" ht="38.25">
      <c r="B2662" s="129" t="s">
        <v>3580</v>
      </c>
      <c r="C2662" s="368"/>
      <c r="D2662" s="520" t="s">
        <v>3581</v>
      </c>
      <c r="E2662" s="521" t="s">
        <v>309</v>
      </c>
      <c r="F2662" s="518">
        <v>1</v>
      </c>
      <c r="G2662" s="274"/>
      <c r="H2662" s="275"/>
    </row>
    <row r="2663" spans="2:8" ht="25.5">
      <c r="B2663" s="129" t="s">
        <v>3582</v>
      </c>
      <c r="C2663" s="368"/>
      <c r="D2663" s="520" t="s">
        <v>3583</v>
      </c>
      <c r="E2663" s="521" t="s">
        <v>209</v>
      </c>
      <c r="F2663" s="518">
        <v>40</v>
      </c>
      <c r="G2663" s="274"/>
      <c r="H2663" s="275"/>
    </row>
    <row r="2664" spans="2:8" ht="14.25">
      <c r="B2664" s="129" t="s">
        <v>3584</v>
      </c>
      <c r="C2664" s="368"/>
      <c r="D2664" s="520" t="s">
        <v>3585</v>
      </c>
      <c r="E2664" s="521" t="s">
        <v>99</v>
      </c>
      <c r="F2664" s="518">
        <v>1</v>
      </c>
      <c r="G2664" s="274"/>
      <c r="H2664" s="275"/>
    </row>
    <row r="2665" spans="2:8" ht="14.25">
      <c r="B2665" s="129" t="s">
        <v>3586</v>
      </c>
      <c r="C2665" s="368"/>
      <c r="D2665" s="520" t="s">
        <v>3206</v>
      </c>
      <c r="E2665" s="521" t="s">
        <v>99</v>
      </c>
      <c r="F2665" s="518">
        <v>1</v>
      </c>
      <c r="G2665" s="274"/>
      <c r="H2665" s="275"/>
    </row>
    <row r="2666" spans="2:8" ht="14.25">
      <c r="B2666" s="129" t="s">
        <v>3587</v>
      </c>
      <c r="C2666" s="368"/>
      <c r="D2666" s="520" t="s">
        <v>3309</v>
      </c>
      <c r="E2666" s="521" t="s">
        <v>99</v>
      </c>
      <c r="F2666" s="518">
        <v>3</v>
      </c>
      <c r="G2666" s="274"/>
      <c r="H2666" s="275"/>
    </row>
    <row r="2667" spans="2:8" ht="14.25">
      <c r="B2667" s="129" t="s">
        <v>3588</v>
      </c>
      <c r="C2667" s="368"/>
      <c r="D2667" s="520" t="s">
        <v>3287</v>
      </c>
      <c r="E2667" s="521" t="s">
        <v>99</v>
      </c>
      <c r="F2667" s="518">
        <v>2</v>
      </c>
      <c r="G2667" s="274"/>
      <c r="H2667" s="275"/>
    </row>
    <row r="2668" spans="2:8" ht="43.5">
      <c r="B2668" s="186" t="s">
        <v>3589</v>
      </c>
      <c r="C2668" s="312"/>
      <c r="D2668" s="313" t="s">
        <v>3590</v>
      </c>
      <c r="E2668" s="314"/>
      <c r="F2668" s="283"/>
      <c r="G2668" s="233"/>
      <c r="H2668" s="234"/>
    </row>
    <row r="2669" spans="2:8" ht="14.25">
      <c r="B2669" s="129" t="s">
        <v>3591</v>
      </c>
      <c r="C2669" s="368"/>
      <c r="D2669" s="524" t="s">
        <v>3592</v>
      </c>
      <c r="E2669" s="521"/>
      <c r="F2669" s="518"/>
      <c r="G2669" s="274"/>
      <c r="H2669" s="275"/>
    </row>
    <row r="2670" spans="2:8" ht="14.25">
      <c r="B2670" s="129" t="s">
        <v>3593</v>
      </c>
      <c r="C2670" s="368"/>
      <c r="D2670" s="520" t="s">
        <v>3594</v>
      </c>
      <c r="E2670" s="521" t="s">
        <v>209</v>
      </c>
      <c r="F2670" s="525">
        <v>215</v>
      </c>
      <c r="G2670" s="274"/>
      <c r="H2670" s="275"/>
    </row>
    <row r="2671" spans="2:8" ht="14.25">
      <c r="B2671" s="129" t="s">
        <v>3595</v>
      </c>
      <c r="C2671" s="368"/>
      <c r="D2671" s="520" t="s">
        <v>3596</v>
      </c>
      <c r="E2671" s="521" t="s">
        <v>209</v>
      </c>
      <c r="F2671" s="525">
        <v>485</v>
      </c>
      <c r="G2671" s="274"/>
      <c r="H2671" s="275"/>
    </row>
    <row r="2672" spans="2:8" ht="14.25">
      <c r="B2672" s="129" t="s">
        <v>3597</v>
      </c>
      <c r="C2672" s="368"/>
      <c r="D2672" s="520" t="s">
        <v>3598</v>
      </c>
      <c r="E2672" s="521" t="s">
        <v>99</v>
      </c>
      <c r="F2672" s="518">
        <v>5</v>
      </c>
      <c r="G2672" s="274"/>
      <c r="H2672" s="275"/>
    </row>
    <row r="2673" spans="2:8" ht="14.25">
      <c r="B2673" s="129" t="s">
        <v>3599</v>
      </c>
      <c r="C2673" s="368"/>
      <c r="D2673" s="520" t="s">
        <v>3600</v>
      </c>
      <c r="E2673" s="521" t="s">
        <v>99</v>
      </c>
      <c r="F2673" s="518">
        <v>54</v>
      </c>
      <c r="G2673" s="274"/>
      <c r="H2673" s="275"/>
    </row>
    <row r="2674" spans="2:8" ht="14.25">
      <c r="B2674" s="129" t="s">
        <v>3601</v>
      </c>
      <c r="C2674" s="368"/>
      <c r="D2674" s="520" t="s">
        <v>3602</v>
      </c>
      <c r="E2674" s="521" t="s">
        <v>99</v>
      </c>
      <c r="F2674" s="518">
        <v>1</v>
      </c>
      <c r="G2674" s="274"/>
      <c r="H2674" s="275"/>
    </row>
    <row r="2675" spans="2:8" ht="14.25">
      <c r="B2675" s="129" t="s">
        <v>3603</v>
      </c>
      <c r="C2675" s="368"/>
      <c r="D2675" s="520" t="s">
        <v>3604</v>
      </c>
      <c r="E2675" s="521" t="s">
        <v>209</v>
      </c>
      <c r="F2675" s="525">
        <v>121</v>
      </c>
      <c r="G2675" s="274"/>
      <c r="H2675" s="275"/>
    </row>
    <row r="2676" spans="2:8" ht="14.25">
      <c r="B2676" s="129" t="s">
        <v>3605</v>
      </c>
      <c r="C2676" s="368"/>
      <c r="D2676" s="520" t="s">
        <v>3606</v>
      </c>
      <c r="E2676" s="521" t="s">
        <v>309</v>
      </c>
      <c r="F2676" s="518">
        <v>1</v>
      </c>
      <c r="G2676" s="274"/>
      <c r="H2676" s="275"/>
    </row>
    <row r="2677" spans="2:8" ht="14.25">
      <c r="B2677" s="129" t="s">
        <v>3607</v>
      </c>
      <c r="C2677" s="368"/>
      <c r="D2677" s="520" t="s">
        <v>3608</v>
      </c>
      <c r="E2677" s="521" t="s">
        <v>99</v>
      </c>
      <c r="F2677" s="518">
        <v>1</v>
      </c>
      <c r="G2677" s="274"/>
      <c r="H2677" s="275"/>
    </row>
    <row r="2678" spans="2:8" ht="14.25">
      <c r="B2678" s="129" t="s">
        <v>3609</v>
      </c>
      <c r="C2678" s="368"/>
      <c r="D2678" s="520" t="s">
        <v>3610</v>
      </c>
      <c r="E2678" s="521" t="s">
        <v>99</v>
      </c>
      <c r="F2678" s="518">
        <v>3</v>
      </c>
      <c r="G2678" s="274"/>
      <c r="H2678" s="275"/>
    </row>
    <row r="2679" spans="2:8" ht="14.25">
      <c r="B2679" s="129" t="s">
        <v>3611</v>
      </c>
      <c r="C2679" s="368"/>
      <c r="D2679" s="520" t="s">
        <v>3612</v>
      </c>
      <c r="E2679" s="521" t="s">
        <v>99</v>
      </c>
      <c r="F2679" s="518">
        <v>10</v>
      </c>
      <c r="G2679" s="274"/>
      <c r="H2679" s="275"/>
    </row>
    <row r="2680" spans="2:8" ht="14.25">
      <c r="B2680" s="129" t="s">
        <v>3613</v>
      </c>
      <c r="C2680" s="368"/>
      <c r="D2680" s="520" t="s">
        <v>3614</v>
      </c>
      <c r="E2680" s="521" t="s">
        <v>99</v>
      </c>
      <c r="F2680" s="518">
        <v>28</v>
      </c>
      <c r="G2680" s="274"/>
      <c r="H2680" s="275"/>
    </row>
    <row r="2681" spans="2:8" ht="14.25">
      <c r="B2681" s="129" t="s">
        <v>3615</v>
      </c>
      <c r="C2681" s="368"/>
      <c r="D2681" s="520" t="s">
        <v>3616</v>
      </c>
      <c r="E2681" s="521" t="s">
        <v>99</v>
      </c>
      <c r="F2681" s="518">
        <v>2</v>
      </c>
      <c r="G2681" s="274"/>
      <c r="H2681" s="275"/>
    </row>
    <row r="2682" spans="2:8" ht="14.25">
      <c r="B2682" s="129" t="s">
        <v>3617</v>
      </c>
      <c r="C2682" s="368"/>
      <c r="D2682" s="520" t="s">
        <v>3618</v>
      </c>
      <c r="E2682" s="521" t="s">
        <v>99</v>
      </c>
      <c r="F2682" s="518">
        <v>14</v>
      </c>
      <c r="G2682" s="274"/>
      <c r="H2682" s="275"/>
    </row>
    <row r="2683" spans="2:8" ht="14.25">
      <c r="B2683" s="129" t="s">
        <v>3619</v>
      </c>
      <c r="C2683" s="368"/>
      <c r="D2683" s="524" t="s">
        <v>3620</v>
      </c>
      <c r="E2683" s="521"/>
      <c r="F2683" s="518"/>
      <c r="G2683" s="274"/>
      <c r="H2683" s="275"/>
    </row>
    <row r="2684" spans="2:8" ht="14.25">
      <c r="B2684" s="129" t="s">
        <v>3621</v>
      </c>
      <c r="C2684" s="368"/>
      <c r="D2684" s="520" t="s">
        <v>3622</v>
      </c>
      <c r="E2684" s="521" t="s">
        <v>209</v>
      </c>
      <c r="F2684" s="518">
        <v>220</v>
      </c>
      <c r="G2684" s="274"/>
      <c r="H2684" s="275"/>
    </row>
    <row r="2685" spans="2:8" ht="14.25">
      <c r="B2685" s="129" t="s">
        <v>3623</v>
      </c>
      <c r="C2685" s="368"/>
      <c r="D2685" s="520" t="s">
        <v>3624</v>
      </c>
      <c r="E2685" s="521" t="s">
        <v>209</v>
      </c>
      <c r="F2685" s="518">
        <v>620</v>
      </c>
      <c r="G2685" s="274"/>
      <c r="H2685" s="275"/>
    </row>
    <row r="2686" spans="2:8" ht="14.25">
      <c r="B2686" s="129" t="s">
        <v>3625</v>
      </c>
      <c r="C2686" s="368"/>
      <c r="D2686" s="520" t="s">
        <v>3626</v>
      </c>
      <c r="E2686" s="521" t="s">
        <v>209</v>
      </c>
      <c r="F2686" s="518">
        <v>310</v>
      </c>
      <c r="G2686" s="274"/>
      <c r="H2686" s="275"/>
    </row>
    <row r="2687" spans="2:8" ht="14.25">
      <c r="B2687" s="129" t="s">
        <v>3627</v>
      </c>
      <c r="C2687" s="368"/>
      <c r="D2687" s="520" t="s">
        <v>3598</v>
      </c>
      <c r="E2687" s="521" t="s">
        <v>99</v>
      </c>
      <c r="F2687" s="518">
        <v>8</v>
      </c>
      <c r="G2687" s="274"/>
      <c r="H2687" s="275"/>
    </row>
    <row r="2688" spans="2:8" ht="14.25">
      <c r="B2688" s="129" t="s">
        <v>3628</v>
      </c>
      <c r="C2688" s="368"/>
      <c r="D2688" s="520" t="s">
        <v>3600</v>
      </c>
      <c r="E2688" s="521" t="s">
        <v>99</v>
      </c>
      <c r="F2688" s="518">
        <v>43</v>
      </c>
      <c r="G2688" s="274"/>
      <c r="H2688" s="275"/>
    </row>
    <row r="2689" spans="2:8" ht="14.25">
      <c r="B2689" s="129" t="s">
        <v>3629</v>
      </c>
      <c r="C2689" s="368"/>
      <c r="D2689" s="520" t="s">
        <v>3602</v>
      </c>
      <c r="E2689" s="521" t="s">
        <v>99</v>
      </c>
      <c r="F2689" s="518">
        <v>10</v>
      </c>
      <c r="G2689" s="274"/>
      <c r="H2689" s="275"/>
    </row>
    <row r="2690" spans="2:8" ht="14.25">
      <c r="B2690" s="129" t="s">
        <v>3630</v>
      </c>
      <c r="C2690" s="368"/>
      <c r="D2690" s="520" t="s">
        <v>3604</v>
      </c>
      <c r="E2690" s="521" t="s">
        <v>209</v>
      </c>
      <c r="F2690" s="518">
        <v>110</v>
      </c>
      <c r="G2690" s="274"/>
      <c r="H2690" s="275"/>
    </row>
    <row r="2691" spans="2:8" ht="14.25">
      <c r="B2691" s="129" t="s">
        <v>3631</v>
      </c>
      <c r="C2691" s="368"/>
      <c r="D2691" s="520" t="s">
        <v>3606</v>
      </c>
      <c r="E2691" s="521" t="s">
        <v>309</v>
      </c>
      <c r="F2691" s="518">
        <v>1</v>
      </c>
      <c r="G2691" s="274"/>
      <c r="H2691" s="275"/>
    </row>
    <row r="2692" spans="2:8" ht="14.25">
      <c r="B2692" s="129" t="s">
        <v>3632</v>
      </c>
      <c r="C2692" s="368"/>
      <c r="D2692" s="520" t="s">
        <v>3633</v>
      </c>
      <c r="E2692" s="521" t="s">
        <v>99</v>
      </c>
      <c r="F2692" s="518">
        <v>15</v>
      </c>
      <c r="G2692" s="274"/>
      <c r="H2692" s="275"/>
    </row>
    <row r="2693" spans="2:8" ht="14.25">
      <c r="B2693" s="129" t="s">
        <v>3634</v>
      </c>
      <c r="C2693" s="368"/>
      <c r="D2693" s="520" t="s">
        <v>3635</v>
      </c>
      <c r="E2693" s="521" t="s">
        <v>99</v>
      </c>
      <c r="F2693" s="518">
        <v>26</v>
      </c>
      <c r="G2693" s="274"/>
      <c r="H2693" s="275"/>
    </row>
    <row r="2694" spans="2:8" ht="14.25">
      <c r="B2694" s="129" t="s">
        <v>3636</v>
      </c>
      <c r="C2694" s="368"/>
      <c r="D2694" s="520" t="s">
        <v>3637</v>
      </c>
      <c r="E2694" s="521" t="s">
        <v>99</v>
      </c>
      <c r="F2694" s="518">
        <v>2</v>
      </c>
      <c r="G2694" s="274"/>
      <c r="H2694" s="275"/>
    </row>
    <row r="2695" spans="2:8" ht="14.25">
      <c r="B2695" s="129" t="s">
        <v>3638</v>
      </c>
      <c r="C2695" s="368"/>
      <c r="D2695" s="524" t="s">
        <v>3639</v>
      </c>
      <c r="E2695" s="521"/>
      <c r="F2695" s="518"/>
      <c r="G2695" s="274"/>
      <c r="H2695" s="275"/>
    </row>
    <row r="2696" spans="2:8" ht="14.25">
      <c r="B2696" s="129" t="s">
        <v>3640</v>
      </c>
      <c r="C2696" s="368"/>
      <c r="D2696" s="520" t="s">
        <v>3641</v>
      </c>
      <c r="E2696" s="521" t="s">
        <v>209</v>
      </c>
      <c r="F2696" s="518">
        <v>170</v>
      </c>
      <c r="G2696" s="274"/>
      <c r="H2696" s="275"/>
    </row>
    <row r="2697" spans="2:8" ht="14.25">
      <c r="B2697" s="129" t="s">
        <v>3642</v>
      </c>
      <c r="C2697" s="368"/>
      <c r="D2697" s="520" t="s">
        <v>3643</v>
      </c>
      <c r="E2697" s="521" t="s">
        <v>209</v>
      </c>
      <c r="F2697" s="518">
        <v>160</v>
      </c>
      <c r="G2697" s="274"/>
      <c r="H2697" s="275"/>
    </row>
    <row r="2698" spans="2:8" ht="14.25">
      <c r="B2698" s="129" t="s">
        <v>3644</v>
      </c>
      <c r="C2698" s="368"/>
      <c r="D2698" s="520" t="s">
        <v>3645</v>
      </c>
      <c r="E2698" s="521" t="s">
        <v>209</v>
      </c>
      <c r="F2698" s="518">
        <v>60</v>
      </c>
      <c r="G2698" s="274"/>
      <c r="H2698" s="275"/>
    </row>
    <row r="2699" spans="2:8" ht="14.25">
      <c r="B2699" s="129" t="s">
        <v>3646</v>
      </c>
      <c r="C2699" s="368"/>
      <c r="D2699" s="520" t="s">
        <v>3626</v>
      </c>
      <c r="E2699" s="521" t="s">
        <v>209</v>
      </c>
      <c r="F2699" s="518">
        <v>120</v>
      </c>
      <c r="G2699" s="274"/>
      <c r="H2699" s="275"/>
    </row>
    <row r="2700" spans="2:8" ht="14.25">
      <c r="B2700" s="129" t="s">
        <v>3647</v>
      </c>
      <c r="C2700" s="368"/>
      <c r="D2700" s="520" t="s">
        <v>3600</v>
      </c>
      <c r="E2700" s="521" t="s">
        <v>99</v>
      </c>
      <c r="F2700" s="518">
        <v>5</v>
      </c>
      <c r="G2700" s="274"/>
      <c r="H2700" s="275"/>
    </row>
    <row r="2701" spans="2:8" ht="14.25">
      <c r="B2701" s="129" t="s">
        <v>3648</v>
      </c>
      <c r="C2701" s="368"/>
      <c r="D2701" s="520" t="s">
        <v>3604</v>
      </c>
      <c r="E2701" s="521" t="s">
        <v>209</v>
      </c>
      <c r="F2701" s="518">
        <v>80</v>
      </c>
      <c r="G2701" s="274"/>
      <c r="H2701" s="275"/>
    </row>
    <row r="2702" spans="2:8" ht="25.5">
      <c r="B2702" s="129" t="s">
        <v>3649</v>
      </c>
      <c r="C2702" s="368"/>
      <c r="D2702" s="520" t="s">
        <v>3650</v>
      </c>
      <c r="E2702" s="521" t="s">
        <v>309</v>
      </c>
      <c r="F2702" s="518">
        <v>1</v>
      </c>
      <c r="G2702" s="274"/>
      <c r="H2702" s="275"/>
    </row>
    <row r="2703" spans="2:8" ht="14.25">
      <c r="B2703" s="129" t="s">
        <v>3651</v>
      </c>
      <c r="C2703" s="368"/>
      <c r="D2703" s="524" t="s">
        <v>3652</v>
      </c>
      <c r="E2703" s="521"/>
      <c r="F2703" s="518"/>
      <c r="G2703" s="274"/>
      <c r="H2703" s="275"/>
    </row>
    <row r="2704" spans="2:8" ht="14.25">
      <c r="B2704" s="129" t="s">
        <v>3653</v>
      </c>
      <c r="C2704" s="368"/>
      <c r="D2704" s="520" t="s">
        <v>3654</v>
      </c>
      <c r="E2704" s="521" t="s">
        <v>99</v>
      </c>
      <c r="F2704" s="518">
        <v>20</v>
      </c>
      <c r="G2704" s="274"/>
      <c r="H2704" s="275"/>
    </row>
    <row r="2705" spans="2:8" ht="14.25">
      <c r="B2705" s="129" t="s">
        <v>3655</v>
      </c>
      <c r="C2705" s="368"/>
      <c r="D2705" s="520" t="s">
        <v>3656</v>
      </c>
      <c r="E2705" s="521" t="s">
        <v>99</v>
      </c>
      <c r="F2705" s="518">
        <v>5</v>
      </c>
      <c r="G2705" s="274"/>
      <c r="H2705" s="275"/>
    </row>
    <row r="2706" spans="2:8" ht="14.25">
      <c r="B2706" s="129" t="s">
        <v>3657</v>
      </c>
      <c r="C2706" s="368"/>
      <c r="D2706" s="520" t="s">
        <v>3658</v>
      </c>
      <c r="E2706" s="521" t="s">
        <v>209</v>
      </c>
      <c r="F2706" s="518">
        <v>200</v>
      </c>
      <c r="G2706" s="274"/>
      <c r="H2706" s="275"/>
    </row>
    <row r="2707" spans="2:8" ht="14.25">
      <c r="B2707" s="129" t="s">
        <v>3659</v>
      </c>
      <c r="C2707" s="368"/>
      <c r="D2707" s="520" t="s">
        <v>3660</v>
      </c>
      <c r="E2707" s="521" t="s">
        <v>309</v>
      </c>
      <c r="F2707" s="518">
        <v>1</v>
      </c>
      <c r="G2707" s="274"/>
      <c r="H2707" s="275"/>
    </row>
    <row r="2708" spans="2:8" ht="14.25">
      <c r="B2708" s="129" t="s">
        <v>3661</v>
      </c>
      <c r="C2708" s="368"/>
      <c r="D2708" s="524" t="s">
        <v>3662</v>
      </c>
      <c r="E2708" s="521"/>
      <c r="F2708" s="518"/>
      <c r="G2708" s="274"/>
      <c r="H2708" s="275"/>
    </row>
    <row r="2709" spans="2:8" ht="14.25">
      <c r="B2709" s="129" t="s">
        <v>3663</v>
      </c>
      <c r="C2709" s="368"/>
      <c r="D2709" s="520" t="s">
        <v>3664</v>
      </c>
      <c r="E2709" s="521" t="s">
        <v>209</v>
      </c>
      <c r="F2709" s="518">
        <v>30</v>
      </c>
      <c r="G2709" s="274"/>
      <c r="H2709" s="275"/>
    </row>
    <row r="2710" spans="2:8" ht="14.25">
      <c r="B2710" s="129" t="s">
        <v>3665</v>
      </c>
      <c r="C2710" s="368"/>
      <c r="D2710" s="520" t="s">
        <v>3666</v>
      </c>
      <c r="E2710" s="521" t="s">
        <v>209</v>
      </c>
      <c r="F2710" s="518">
        <v>1</v>
      </c>
      <c r="G2710" s="274"/>
      <c r="H2710" s="275"/>
    </row>
    <row r="2711" spans="2:8" ht="43.5">
      <c r="B2711" s="186" t="s">
        <v>3667</v>
      </c>
      <c r="C2711" s="312"/>
      <c r="D2711" s="313" t="s">
        <v>3668</v>
      </c>
      <c r="E2711" s="314"/>
      <c r="F2711" s="283"/>
      <c r="G2711" s="233"/>
      <c r="H2711" s="234"/>
    </row>
    <row r="2712" spans="2:8" ht="14.25">
      <c r="B2712" s="129" t="s">
        <v>3669</v>
      </c>
      <c r="C2712" s="368"/>
      <c r="D2712" s="524" t="s">
        <v>3592</v>
      </c>
      <c r="E2712" s="521"/>
      <c r="F2712" s="518"/>
      <c r="G2712" s="274"/>
      <c r="H2712" s="275"/>
    </row>
    <row r="2713" spans="2:8" ht="14.25">
      <c r="B2713" s="129" t="s">
        <v>3670</v>
      </c>
      <c r="C2713" s="368"/>
      <c r="D2713" s="520" t="s">
        <v>3594</v>
      </c>
      <c r="E2713" s="521" t="s">
        <v>209</v>
      </c>
      <c r="F2713" s="525">
        <v>1200</v>
      </c>
      <c r="G2713" s="274"/>
      <c r="H2713" s="275"/>
    </row>
    <row r="2714" spans="2:8" ht="14.25">
      <c r="B2714" s="129" t="s">
        <v>3671</v>
      </c>
      <c r="C2714" s="368"/>
      <c r="D2714" s="520" t="s">
        <v>3596</v>
      </c>
      <c r="E2714" s="521" t="s">
        <v>209</v>
      </c>
      <c r="F2714" s="525">
        <v>3570</v>
      </c>
      <c r="G2714" s="274"/>
      <c r="H2714" s="275"/>
    </row>
    <row r="2715" spans="2:8" ht="14.25">
      <c r="B2715" s="129" t="s">
        <v>3672</v>
      </c>
      <c r="C2715" s="368"/>
      <c r="D2715" s="520" t="s">
        <v>3598</v>
      </c>
      <c r="E2715" s="521" t="s">
        <v>99</v>
      </c>
      <c r="F2715" s="518">
        <v>18</v>
      </c>
      <c r="G2715" s="274"/>
      <c r="H2715" s="275"/>
    </row>
    <row r="2716" spans="2:8" ht="14.25">
      <c r="B2716" s="129" t="s">
        <v>3673</v>
      </c>
      <c r="C2716" s="368"/>
      <c r="D2716" s="520" t="s">
        <v>3600</v>
      </c>
      <c r="E2716" s="521" t="s">
        <v>99</v>
      </c>
      <c r="F2716" s="518">
        <v>539</v>
      </c>
      <c r="G2716" s="274"/>
      <c r="H2716" s="275"/>
    </row>
    <row r="2717" spans="2:8" ht="14.25">
      <c r="B2717" s="129" t="s">
        <v>3674</v>
      </c>
      <c r="C2717" s="368"/>
      <c r="D2717" s="520" t="s">
        <v>3602</v>
      </c>
      <c r="E2717" s="521" t="s">
        <v>99</v>
      </c>
      <c r="F2717" s="518">
        <v>35</v>
      </c>
      <c r="G2717" s="274"/>
      <c r="H2717" s="275"/>
    </row>
    <row r="2718" spans="2:8" ht="14.25">
      <c r="B2718" s="129" t="s">
        <v>3675</v>
      </c>
      <c r="C2718" s="368"/>
      <c r="D2718" s="520" t="s">
        <v>3604</v>
      </c>
      <c r="E2718" s="521" t="s">
        <v>209</v>
      </c>
      <c r="F2718" s="525">
        <v>1785</v>
      </c>
      <c r="G2718" s="274"/>
      <c r="H2718" s="275"/>
    </row>
    <row r="2719" spans="2:8" ht="14.25">
      <c r="B2719" s="129" t="s">
        <v>3676</v>
      </c>
      <c r="C2719" s="368"/>
      <c r="D2719" s="520" t="s">
        <v>3606</v>
      </c>
      <c r="E2719" s="521" t="s">
        <v>309</v>
      </c>
      <c r="F2719" s="518">
        <v>1</v>
      </c>
      <c r="G2719" s="274"/>
      <c r="H2719" s="275"/>
    </row>
    <row r="2720" spans="2:8" ht="14.25">
      <c r="B2720" s="129" t="s">
        <v>3677</v>
      </c>
      <c r="C2720" s="368"/>
      <c r="D2720" s="520" t="s">
        <v>3608</v>
      </c>
      <c r="E2720" s="521" t="s">
        <v>99</v>
      </c>
      <c r="F2720" s="518">
        <v>35</v>
      </c>
      <c r="G2720" s="274"/>
      <c r="H2720" s="275"/>
    </row>
    <row r="2721" spans="2:8" ht="14.25">
      <c r="B2721" s="129" t="s">
        <v>3678</v>
      </c>
      <c r="C2721" s="368"/>
      <c r="D2721" s="520" t="s">
        <v>3610</v>
      </c>
      <c r="E2721" s="521" t="s">
        <v>99</v>
      </c>
      <c r="F2721" s="518">
        <v>11</v>
      </c>
      <c r="G2721" s="274"/>
      <c r="H2721" s="275"/>
    </row>
    <row r="2722" spans="2:8" ht="14.25">
      <c r="B2722" s="129" t="s">
        <v>3679</v>
      </c>
      <c r="C2722" s="368"/>
      <c r="D2722" s="520" t="s">
        <v>3680</v>
      </c>
      <c r="E2722" s="521" t="s">
        <v>99</v>
      </c>
      <c r="F2722" s="518">
        <v>191</v>
      </c>
      <c r="G2722" s="274"/>
      <c r="H2722" s="275"/>
    </row>
    <row r="2723" spans="2:8" ht="14.25">
      <c r="B2723" s="129" t="s">
        <v>3678</v>
      </c>
      <c r="C2723" s="368"/>
      <c r="D2723" s="520" t="s">
        <v>3612</v>
      </c>
      <c r="E2723" s="521" t="s">
        <v>99</v>
      </c>
      <c r="F2723" s="518">
        <v>70</v>
      </c>
      <c r="G2723" s="274"/>
      <c r="H2723" s="275"/>
    </row>
    <row r="2724" spans="2:8" ht="14.25">
      <c r="B2724" s="129" t="s">
        <v>3679</v>
      </c>
      <c r="C2724" s="368"/>
      <c r="D2724" s="520" t="s">
        <v>3614</v>
      </c>
      <c r="E2724" s="521" t="s">
        <v>99</v>
      </c>
      <c r="F2724" s="518">
        <v>181</v>
      </c>
      <c r="G2724" s="274"/>
      <c r="H2724" s="275"/>
    </row>
    <row r="2725" spans="2:8" ht="14.25">
      <c r="B2725" s="129" t="s">
        <v>3681</v>
      </c>
      <c r="C2725" s="368"/>
      <c r="D2725" s="520" t="s">
        <v>3616</v>
      </c>
      <c r="E2725" s="521" t="s">
        <v>99</v>
      </c>
      <c r="F2725" s="518">
        <v>17</v>
      </c>
      <c r="G2725" s="274"/>
      <c r="H2725" s="275"/>
    </row>
    <row r="2726" spans="2:8" ht="14.25">
      <c r="B2726" s="129" t="s">
        <v>3682</v>
      </c>
      <c r="C2726" s="368"/>
      <c r="D2726" s="520" t="s">
        <v>3683</v>
      </c>
      <c r="E2726" s="521" t="s">
        <v>99</v>
      </c>
      <c r="F2726" s="518">
        <v>4</v>
      </c>
      <c r="G2726" s="274"/>
      <c r="H2726" s="275"/>
    </row>
    <row r="2727" spans="2:8" ht="14.25">
      <c r="B2727" s="129" t="s">
        <v>3684</v>
      </c>
      <c r="C2727" s="368"/>
      <c r="D2727" s="520" t="s">
        <v>3685</v>
      </c>
      <c r="E2727" s="521" t="s">
        <v>99</v>
      </c>
      <c r="F2727" s="518">
        <v>16</v>
      </c>
      <c r="G2727" s="274"/>
      <c r="H2727" s="275"/>
    </row>
    <row r="2728" spans="2:8" ht="14.25">
      <c r="B2728" s="129" t="s">
        <v>3686</v>
      </c>
      <c r="C2728" s="368"/>
      <c r="D2728" s="520" t="s">
        <v>3687</v>
      </c>
      <c r="E2728" s="521" t="s">
        <v>99</v>
      </c>
      <c r="F2728" s="518">
        <v>3</v>
      </c>
      <c r="G2728" s="274"/>
      <c r="H2728" s="275"/>
    </row>
    <row r="2729" spans="2:8" ht="14.25">
      <c r="B2729" s="129" t="s">
        <v>3688</v>
      </c>
      <c r="C2729" s="368"/>
      <c r="D2729" s="524" t="s">
        <v>3620</v>
      </c>
      <c r="E2729" s="521"/>
      <c r="F2729" s="518"/>
      <c r="G2729" s="274"/>
      <c r="H2729" s="275"/>
    </row>
    <row r="2730" spans="2:8" ht="14.25">
      <c r="B2730" s="129" t="s">
        <v>3689</v>
      </c>
      <c r="C2730" s="368"/>
      <c r="D2730" s="520" t="s">
        <v>3622</v>
      </c>
      <c r="E2730" s="521" t="s">
        <v>209</v>
      </c>
      <c r="F2730" s="518">
        <v>1700</v>
      </c>
      <c r="G2730" s="274"/>
      <c r="H2730" s="275"/>
    </row>
    <row r="2731" spans="2:8" ht="14.25">
      <c r="B2731" s="129" t="s">
        <v>3690</v>
      </c>
      <c r="C2731" s="368"/>
      <c r="D2731" s="520" t="s">
        <v>3624</v>
      </c>
      <c r="E2731" s="521" t="s">
        <v>209</v>
      </c>
      <c r="F2731" s="518">
        <v>4700</v>
      </c>
      <c r="G2731" s="274"/>
      <c r="H2731" s="275"/>
    </row>
    <row r="2732" spans="2:8" ht="14.25">
      <c r="B2732" s="129" t="s">
        <v>3691</v>
      </c>
      <c r="C2732" s="368"/>
      <c r="D2732" s="520" t="s">
        <v>3626</v>
      </c>
      <c r="E2732" s="521" t="s">
        <v>209</v>
      </c>
      <c r="F2732" s="518">
        <v>2600</v>
      </c>
      <c r="G2732" s="274"/>
      <c r="H2732" s="275"/>
    </row>
    <row r="2733" spans="2:8" ht="14.25">
      <c r="B2733" s="129" t="s">
        <v>3692</v>
      </c>
      <c r="C2733" s="368"/>
      <c r="D2733" s="520" t="s">
        <v>3598</v>
      </c>
      <c r="E2733" s="521" t="s">
        <v>99</v>
      </c>
      <c r="F2733" s="518">
        <v>25</v>
      </c>
      <c r="G2733" s="274"/>
      <c r="H2733" s="275"/>
    </row>
    <row r="2734" spans="2:8" ht="14.25">
      <c r="B2734" s="129" t="s">
        <v>3693</v>
      </c>
      <c r="C2734" s="368"/>
      <c r="D2734" s="520" t="s">
        <v>3600</v>
      </c>
      <c r="E2734" s="521" t="s">
        <v>99</v>
      </c>
      <c r="F2734" s="518">
        <v>114</v>
      </c>
      <c r="G2734" s="274"/>
      <c r="H2734" s="275"/>
    </row>
    <row r="2735" spans="2:8" ht="14.25">
      <c r="B2735" s="129" t="s">
        <v>3694</v>
      </c>
      <c r="C2735" s="368"/>
      <c r="D2735" s="520" t="s">
        <v>3602</v>
      </c>
      <c r="E2735" s="521" t="s">
        <v>99</v>
      </c>
      <c r="F2735" s="518">
        <v>35</v>
      </c>
      <c r="G2735" s="274"/>
      <c r="H2735" s="275"/>
    </row>
    <row r="2736" spans="2:8" ht="14.25">
      <c r="B2736" s="129" t="s">
        <v>3695</v>
      </c>
      <c r="C2736" s="368"/>
      <c r="D2736" s="520" t="s">
        <v>3604</v>
      </c>
      <c r="E2736" s="521" t="s">
        <v>209</v>
      </c>
      <c r="F2736" s="518">
        <v>2350</v>
      </c>
      <c r="G2736" s="274"/>
      <c r="H2736" s="275"/>
    </row>
    <row r="2737" spans="2:8" ht="14.25">
      <c r="B2737" s="129" t="s">
        <v>3696</v>
      </c>
      <c r="C2737" s="368"/>
      <c r="D2737" s="520" t="s">
        <v>3606</v>
      </c>
      <c r="E2737" s="521" t="s">
        <v>309</v>
      </c>
      <c r="F2737" s="518">
        <v>1</v>
      </c>
      <c r="G2737" s="274"/>
      <c r="H2737" s="275"/>
    </row>
    <row r="2738" spans="2:8" ht="14.25">
      <c r="B2738" s="129" t="s">
        <v>3697</v>
      </c>
      <c r="C2738" s="368"/>
      <c r="D2738" s="520" t="s">
        <v>3633</v>
      </c>
      <c r="E2738" s="521" t="s">
        <v>99</v>
      </c>
      <c r="F2738" s="518">
        <v>95</v>
      </c>
      <c r="G2738" s="274"/>
      <c r="H2738" s="275"/>
    </row>
    <row r="2739" spans="2:8" ht="14.25">
      <c r="B2739" s="129" t="s">
        <v>3698</v>
      </c>
      <c r="C2739" s="368"/>
      <c r="D2739" s="520" t="s">
        <v>3635</v>
      </c>
      <c r="E2739" s="521" t="s">
        <v>99</v>
      </c>
      <c r="F2739" s="518">
        <v>153</v>
      </c>
      <c r="G2739" s="274"/>
      <c r="H2739" s="275"/>
    </row>
    <row r="2740" spans="2:8" ht="14.25">
      <c r="B2740" s="129" t="s">
        <v>3699</v>
      </c>
      <c r="C2740" s="368"/>
      <c r="D2740" s="520" t="s">
        <v>3637</v>
      </c>
      <c r="E2740" s="521" t="s">
        <v>99</v>
      </c>
      <c r="F2740" s="518">
        <v>5</v>
      </c>
      <c r="G2740" s="274"/>
      <c r="H2740" s="275"/>
    </row>
    <row r="2741" spans="2:8" ht="14.25">
      <c r="B2741" s="129" t="s">
        <v>3700</v>
      </c>
      <c r="C2741" s="368"/>
      <c r="D2741" s="524" t="s">
        <v>3639</v>
      </c>
      <c r="E2741" s="521"/>
      <c r="F2741" s="518"/>
      <c r="G2741" s="274"/>
      <c r="H2741" s="275"/>
    </row>
    <row r="2742" spans="2:8" ht="14.25">
      <c r="B2742" s="129" t="s">
        <v>3701</v>
      </c>
      <c r="C2742" s="368"/>
      <c r="D2742" s="520" t="s">
        <v>3641</v>
      </c>
      <c r="E2742" s="521" t="s">
        <v>209</v>
      </c>
      <c r="F2742" s="518">
        <v>1350</v>
      </c>
      <c r="G2742" s="274"/>
      <c r="H2742" s="275"/>
    </row>
    <row r="2743" spans="2:8" ht="14.25">
      <c r="B2743" s="129" t="s">
        <v>3702</v>
      </c>
      <c r="C2743" s="368"/>
      <c r="D2743" s="520" t="s">
        <v>3643</v>
      </c>
      <c r="E2743" s="521" t="s">
        <v>209</v>
      </c>
      <c r="F2743" s="518">
        <v>1200</v>
      </c>
      <c r="G2743" s="274"/>
      <c r="H2743" s="275"/>
    </row>
    <row r="2744" spans="2:8" ht="14.25">
      <c r="B2744" s="129" t="s">
        <v>3703</v>
      </c>
      <c r="C2744" s="368"/>
      <c r="D2744" s="520" t="s">
        <v>3645</v>
      </c>
      <c r="E2744" s="521" t="s">
        <v>209</v>
      </c>
      <c r="F2744" s="518">
        <v>110</v>
      </c>
      <c r="G2744" s="274"/>
      <c r="H2744" s="275"/>
    </row>
    <row r="2745" spans="2:8" ht="14.25">
      <c r="B2745" s="129" t="s">
        <v>3704</v>
      </c>
      <c r="C2745" s="368"/>
      <c r="D2745" s="520" t="s">
        <v>3626</v>
      </c>
      <c r="E2745" s="521" t="s">
        <v>209</v>
      </c>
      <c r="F2745" s="518">
        <v>1200</v>
      </c>
      <c r="G2745" s="274"/>
      <c r="H2745" s="275"/>
    </row>
    <row r="2746" spans="2:8" ht="14.25">
      <c r="B2746" s="129" t="s">
        <v>3705</v>
      </c>
      <c r="C2746" s="368"/>
      <c r="D2746" s="520" t="s">
        <v>3600</v>
      </c>
      <c r="E2746" s="521" t="s">
        <v>99</v>
      </c>
      <c r="F2746" s="518">
        <v>35</v>
      </c>
      <c r="G2746" s="274"/>
      <c r="H2746" s="275"/>
    </row>
    <row r="2747" spans="2:8" ht="14.25">
      <c r="B2747" s="129" t="s">
        <v>3706</v>
      </c>
      <c r="C2747" s="368"/>
      <c r="D2747" s="520" t="s">
        <v>3604</v>
      </c>
      <c r="E2747" s="521" t="s">
        <v>209</v>
      </c>
      <c r="F2747" s="518">
        <v>675</v>
      </c>
      <c r="G2747" s="274"/>
      <c r="H2747" s="275"/>
    </row>
    <row r="2748" spans="2:8" ht="25.5">
      <c r="B2748" s="129" t="s">
        <v>3707</v>
      </c>
      <c r="C2748" s="368"/>
      <c r="D2748" s="520" t="s">
        <v>3650</v>
      </c>
      <c r="E2748" s="521" t="s">
        <v>309</v>
      </c>
      <c r="F2748" s="518">
        <v>1</v>
      </c>
      <c r="G2748" s="274"/>
      <c r="H2748" s="275"/>
    </row>
    <row r="2749" spans="2:8" ht="14.25">
      <c r="B2749" s="129" t="s">
        <v>3708</v>
      </c>
      <c r="C2749" s="368"/>
      <c r="D2749" s="524" t="s">
        <v>3652</v>
      </c>
      <c r="E2749" s="521"/>
      <c r="F2749" s="518"/>
      <c r="G2749" s="274"/>
      <c r="H2749" s="275"/>
    </row>
    <row r="2750" spans="2:8" ht="14.25">
      <c r="B2750" s="129" t="s">
        <v>3709</v>
      </c>
      <c r="C2750" s="368"/>
      <c r="D2750" s="520" t="s">
        <v>3654</v>
      </c>
      <c r="E2750" s="521" t="s">
        <v>99</v>
      </c>
      <c r="F2750" s="518">
        <v>150</v>
      </c>
      <c r="G2750" s="274"/>
      <c r="H2750" s="275"/>
    </row>
    <row r="2751" spans="2:8" ht="14.25">
      <c r="B2751" s="129" t="s">
        <v>3710</v>
      </c>
      <c r="C2751" s="368"/>
      <c r="D2751" s="520" t="s">
        <v>3656</v>
      </c>
      <c r="E2751" s="521" t="s">
        <v>99</v>
      </c>
      <c r="F2751" s="518">
        <v>5</v>
      </c>
      <c r="G2751" s="274"/>
      <c r="H2751" s="275"/>
    </row>
    <row r="2752" spans="2:8" ht="14.25">
      <c r="B2752" s="129" t="s">
        <v>3711</v>
      </c>
      <c r="C2752" s="368"/>
      <c r="D2752" s="520" t="s">
        <v>3658</v>
      </c>
      <c r="E2752" s="521" t="s">
        <v>209</v>
      </c>
      <c r="F2752" s="518">
        <v>600</v>
      </c>
      <c r="G2752" s="274"/>
      <c r="H2752" s="275"/>
    </row>
    <row r="2753" spans="2:8" ht="14.25">
      <c r="B2753" s="129" t="s">
        <v>3712</v>
      </c>
      <c r="C2753" s="368"/>
      <c r="D2753" s="520" t="s">
        <v>3660</v>
      </c>
      <c r="E2753" s="521" t="s">
        <v>309</v>
      </c>
      <c r="F2753" s="518">
        <v>1</v>
      </c>
      <c r="G2753" s="274"/>
      <c r="H2753" s="275"/>
    </row>
    <row r="2754" spans="2:8" ht="14.25">
      <c r="B2754" s="129" t="s">
        <v>3713</v>
      </c>
      <c r="C2754" s="368"/>
      <c r="D2754" s="524" t="s">
        <v>3662</v>
      </c>
      <c r="E2754" s="521"/>
      <c r="F2754" s="518"/>
      <c r="G2754" s="274"/>
      <c r="H2754" s="275"/>
    </row>
    <row r="2755" spans="2:8" ht="14.25">
      <c r="B2755" s="129" t="s">
        <v>3714</v>
      </c>
      <c r="C2755" s="368"/>
      <c r="D2755" s="520" t="s">
        <v>3715</v>
      </c>
      <c r="E2755" s="521" t="s">
        <v>209</v>
      </c>
      <c r="F2755" s="518">
        <v>54</v>
      </c>
      <c r="G2755" s="274"/>
      <c r="H2755" s="275"/>
    </row>
    <row r="2756" spans="2:8" ht="14.25">
      <c r="B2756" s="129" t="s">
        <v>3716</v>
      </c>
      <c r="C2756" s="368"/>
      <c r="D2756" s="520" t="s">
        <v>3717</v>
      </c>
      <c r="E2756" s="521" t="s">
        <v>209</v>
      </c>
      <c r="F2756" s="518">
        <v>35</v>
      </c>
      <c r="G2756" s="274"/>
      <c r="H2756" s="275"/>
    </row>
    <row r="2757" spans="2:8" ht="14.25">
      <c r="B2757" s="129" t="s">
        <v>3716</v>
      </c>
      <c r="C2757" s="368"/>
      <c r="D2757" s="520" t="s">
        <v>3718</v>
      </c>
      <c r="E2757" s="521" t="s">
        <v>209</v>
      </c>
      <c r="F2757" s="518">
        <v>75</v>
      </c>
      <c r="G2757" s="274"/>
      <c r="H2757" s="275"/>
    </row>
    <row r="2758" spans="2:8" ht="14.25">
      <c r="B2758" s="129" t="s">
        <v>3719</v>
      </c>
      <c r="C2758" s="368"/>
      <c r="D2758" s="520" t="s">
        <v>3666</v>
      </c>
      <c r="E2758" s="521" t="s">
        <v>309</v>
      </c>
      <c r="F2758" s="518">
        <v>1</v>
      </c>
      <c r="G2758" s="274"/>
      <c r="H2758" s="275"/>
    </row>
    <row r="2759" spans="2:8" ht="43.5">
      <c r="B2759" s="186" t="s">
        <v>3720</v>
      </c>
      <c r="C2759" s="312"/>
      <c r="D2759" s="313" t="s">
        <v>3721</v>
      </c>
      <c r="E2759" s="314"/>
      <c r="F2759" s="283"/>
      <c r="G2759" s="233"/>
      <c r="H2759" s="234"/>
    </row>
    <row r="2760" spans="2:8" ht="14.25">
      <c r="B2760" s="129" t="s">
        <v>3722</v>
      </c>
      <c r="C2760" s="368"/>
      <c r="D2760" s="524" t="s">
        <v>3592</v>
      </c>
      <c r="E2760" s="521"/>
      <c r="F2760" s="518"/>
      <c r="G2760" s="274"/>
      <c r="H2760" s="275"/>
    </row>
    <row r="2761" spans="2:8" ht="14.25">
      <c r="B2761" s="129" t="s">
        <v>3723</v>
      </c>
      <c r="C2761" s="368"/>
      <c r="D2761" s="520" t="s">
        <v>3596</v>
      </c>
      <c r="E2761" s="521" t="s">
        <v>209</v>
      </c>
      <c r="F2761" s="518">
        <v>333.70000000000005</v>
      </c>
      <c r="G2761" s="274"/>
      <c r="H2761" s="275"/>
    </row>
    <row r="2762" spans="2:8" ht="14.25">
      <c r="B2762" s="129" t="s">
        <v>3724</v>
      </c>
      <c r="C2762" s="368"/>
      <c r="D2762" s="520" t="s">
        <v>3600</v>
      </c>
      <c r="E2762" s="521" t="s">
        <v>99</v>
      </c>
      <c r="F2762" s="518">
        <v>54</v>
      </c>
      <c r="G2762" s="274"/>
      <c r="H2762" s="275"/>
    </row>
    <row r="2763" spans="2:8" ht="14.25">
      <c r="B2763" s="129" t="s">
        <v>3725</v>
      </c>
      <c r="C2763" s="368"/>
      <c r="D2763" s="520" t="s">
        <v>3602</v>
      </c>
      <c r="E2763" s="521" t="s">
        <v>99</v>
      </c>
      <c r="F2763" s="518">
        <v>5</v>
      </c>
      <c r="G2763" s="274"/>
      <c r="H2763" s="275"/>
    </row>
    <row r="2764" spans="2:8" ht="14.25">
      <c r="B2764" s="129" t="s">
        <v>3726</v>
      </c>
      <c r="C2764" s="368"/>
      <c r="D2764" s="520" t="s">
        <v>3604</v>
      </c>
      <c r="E2764" s="521" t="s">
        <v>209</v>
      </c>
      <c r="F2764" s="518">
        <v>166.85000000000002</v>
      </c>
      <c r="G2764" s="274"/>
      <c r="H2764" s="275"/>
    </row>
    <row r="2765" spans="2:8" ht="14.25">
      <c r="B2765" s="129" t="s">
        <v>3727</v>
      </c>
      <c r="C2765" s="368"/>
      <c r="D2765" s="520" t="s">
        <v>3606</v>
      </c>
      <c r="E2765" s="521" t="s">
        <v>309</v>
      </c>
      <c r="F2765" s="518">
        <v>1</v>
      </c>
      <c r="G2765" s="274"/>
      <c r="H2765" s="275"/>
    </row>
    <row r="2766" spans="2:8" ht="14.25">
      <c r="B2766" s="129" t="s">
        <v>3728</v>
      </c>
      <c r="C2766" s="368"/>
      <c r="D2766" s="520" t="s">
        <v>3608</v>
      </c>
      <c r="E2766" s="521" t="s">
        <v>99</v>
      </c>
      <c r="F2766" s="518">
        <v>5</v>
      </c>
      <c r="G2766" s="274"/>
      <c r="H2766" s="275"/>
    </row>
    <row r="2767" spans="2:8" ht="14.25">
      <c r="B2767" s="129" t="s">
        <v>3729</v>
      </c>
      <c r="C2767" s="368"/>
      <c r="D2767" s="520" t="s">
        <v>3610</v>
      </c>
      <c r="E2767" s="521" t="s">
        <v>99</v>
      </c>
      <c r="F2767" s="518">
        <v>3</v>
      </c>
      <c r="G2767" s="274"/>
      <c r="H2767" s="275"/>
    </row>
    <row r="2768" spans="2:8" ht="14.25">
      <c r="B2768" s="129" t="s">
        <v>3730</v>
      </c>
      <c r="C2768" s="368"/>
      <c r="D2768" s="520" t="s">
        <v>3614</v>
      </c>
      <c r="E2768" s="521" t="s">
        <v>99</v>
      </c>
      <c r="F2768" s="518">
        <v>45</v>
      </c>
      <c r="G2768" s="274"/>
      <c r="H2768" s="275"/>
    </row>
    <row r="2769" spans="2:8" ht="14.25">
      <c r="B2769" s="129" t="s">
        <v>3731</v>
      </c>
      <c r="C2769" s="368"/>
      <c r="D2769" s="520" t="s">
        <v>3616</v>
      </c>
      <c r="E2769" s="521" t="s">
        <v>99</v>
      </c>
      <c r="F2769" s="518">
        <v>3</v>
      </c>
      <c r="G2769" s="274"/>
      <c r="H2769" s="275"/>
    </row>
    <row r="2770" spans="2:8" ht="14.25">
      <c r="B2770" s="129" t="s">
        <v>3732</v>
      </c>
      <c r="C2770" s="368"/>
      <c r="D2770" s="520" t="s">
        <v>3733</v>
      </c>
      <c r="E2770" s="521" t="s">
        <v>99</v>
      </c>
      <c r="F2770" s="518">
        <v>6</v>
      </c>
      <c r="G2770" s="274"/>
      <c r="H2770" s="275"/>
    </row>
    <row r="2771" spans="2:8" ht="14.25">
      <c r="B2771" s="129" t="s">
        <v>3734</v>
      </c>
      <c r="C2771" s="368"/>
      <c r="D2771" s="524" t="s">
        <v>3620</v>
      </c>
      <c r="E2771" s="521"/>
      <c r="F2771" s="518"/>
      <c r="G2771" s="274"/>
      <c r="H2771" s="275"/>
    </row>
    <row r="2772" spans="2:8" ht="14.25">
      <c r="B2772" s="129" t="s">
        <v>3735</v>
      </c>
      <c r="C2772" s="368"/>
      <c r="D2772" s="520" t="s">
        <v>3624</v>
      </c>
      <c r="E2772" s="521" t="s">
        <v>209</v>
      </c>
      <c r="F2772" s="518">
        <v>475.8</v>
      </c>
      <c r="G2772" s="274"/>
      <c r="H2772" s="275"/>
    </row>
    <row r="2773" spans="2:8" ht="14.25">
      <c r="B2773" s="129" t="s">
        <v>3736</v>
      </c>
      <c r="C2773" s="368"/>
      <c r="D2773" s="520" t="s">
        <v>3737</v>
      </c>
      <c r="E2773" s="521" t="s">
        <v>209</v>
      </c>
      <c r="F2773" s="518">
        <v>24</v>
      </c>
      <c r="G2773" s="274"/>
      <c r="H2773" s="275"/>
    </row>
    <row r="2774" spans="2:8" ht="14.25">
      <c r="B2774" s="129" t="s">
        <v>3738</v>
      </c>
      <c r="C2774" s="368"/>
      <c r="D2774" s="520" t="s">
        <v>3626</v>
      </c>
      <c r="E2774" s="521" t="s">
        <v>209</v>
      </c>
      <c r="F2774" s="518">
        <v>154.9</v>
      </c>
      <c r="G2774" s="274"/>
      <c r="H2774" s="275"/>
    </row>
    <row r="2775" spans="2:8" ht="14.25">
      <c r="B2775" s="129" t="s">
        <v>3739</v>
      </c>
      <c r="C2775" s="368"/>
      <c r="D2775" s="520" t="s">
        <v>3600</v>
      </c>
      <c r="E2775" s="521" t="s">
        <v>99</v>
      </c>
      <c r="F2775" s="518">
        <v>23</v>
      </c>
      <c r="G2775" s="274"/>
      <c r="H2775" s="275"/>
    </row>
    <row r="2776" spans="2:8" ht="14.25">
      <c r="B2776" s="129" t="s">
        <v>3740</v>
      </c>
      <c r="C2776" s="368"/>
      <c r="D2776" s="520" t="s">
        <v>3602</v>
      </c>
      <c r="E2776" s="521" t="s">
        <v>99</v>
      </c>
      <c r="F2776" s="518">
        <v>22</v>
      </c>
      <c r="G2776" s="274"/>
      <c r="H2776" s="275"/>
    </row>
    <row r="2777" spans="2:8" ht="14.25">
      <c r="B2777" s="129" t="s">
        <v>3741</v>
      </c>
      <c r="C2777" s="368"/>
      <c r="D2777" s="520" t="s">
        <v>3604</v>
      </c>
      <c r="E2777" s="521" t="s">
        <v>99</v>
      </c>
      <c r="F2777" s="518">
        <v>237.9</v>
      </c>
      <c r="G2777" s="274"/>
      <c r="H2777" s="275"/>
    </row>
    <row r="2778" spans="2:8" ht="14.25">
      <c r="B2778" s="129" t="s">
        <v>3742</v>
      </c>
      <c r="C2778" s="368"/>
      <c r="D2778" s="520" t="s">
        <v>3606</v>
      </c>
      <c r="E2778" s="521" t="s">
        <v>209</v>
      </c>
      <c r="F2778" s="518">
        <v>1</v>
      </c>
      <c r="G2778" s="274"/>
      <c r="H2778" s="275"/>
    </row>
    <row r="2779" spans="2:8" ht="14.25">
      <c r="B2779" s="129" t="s">
        <v>3743</v>
      </c>
      <c r="C2779" s="368"/>
      <c r="D2779" s="520" t="s">
        <v>3633</v>
      </c>
      <c r="E2779" s="521" t="s">
        <v>309</v>
      </c>
      <c r="F2779" s="518">
        <v>14</v>
      </c>
      <c r="G2779" s="274"/>
      <c r="H2779" s="275"/>
    </row>
    <row r="2780" spans="2:8" ht="14.25">
      <c r="B2780" s="129" t="s">
        <v>3744</v>
      </c>
      <c r="C2780" s="368"/>
      <c r="D2780" s="520" t="s">
        <v>3635</v>
      </c>
      <c r="E2780" s="521" t="s">
        <v>99</v>
      </c>
      <c r="F2780" s="518">
        <v>6</v>
      </c>
      <c r="G2780" s="274"/>
      <c r="H2780" s="275"/>
    </row>
    <row r="2781" spans="2:8" ht="14.25">
      <c r="B2781" s="129" t="s">
        <v>3745</v>
      </c>
      <c r="C2781" s="368"/>
      <c r="D2781" s="520" t="s">
        <v>3637</v>
      </c>
      <c r="E2781" s="521" t="s">
        <v>99</v>
      </c>
      <c r="F2781" s="518">
        <v>3</v>
      </c>
      <c r="G2781" s="274"/>
      <c r="H2781" s="275"/>
    </row>
    <row r="2782" spans="2:8" ht="14.25">
      <c r="B2782" s="129" t="s">
        <v>3746</v>
      </c>
      <c r="C2782" s="368"/>
      <c r="D2782" s="524" t="s">
        <v>3639</v>
      </c>
      <c r="E2782" s="521"/>
      <c r="F2782" s="518"/>
      <c r="G2782" s="274"/>
      <c r="H2782" s="275"/>
    </row>
    <row r="2783" spans="2:8" ht="14.25">
      <c r="B2783" s="129" t="s">
        <v>3747</v>
      </c>
      <c r="C2783" s="368"/>
      <c r="D2783" s="520" t="s">
        <v>3641</v>
      </c>
      <c r="E2783" s="521" t="s">
        <v>209</v>
      </c>
      <c r="F2783" s="518">
        <v>52.9</v>
      </c>
      <c r="G2783" s="274"/>
      <c r="H2783" s="275"/>
    </row>
    <row r="2784" spans="2:8" ht="14.25">
      <c r="B2784" s="129" t="s">
        <v>3748</v>
      </c>
      <c r="C2784" s="368"/>
      <c r="D2784" s="520" t="s">
        <v>3643</v>
      </c>
      <c r="E2784" s="521" t="s">
        <v>209</v>
      </c>
      <c r="F2784" s="518">
        <v>47.2</v>
      </c>
      <c r="G2784" s="274"/>
      <c r="H2784" s="275"/>
    </row>
    <row r="2785" spans="2:8" ht="14.25">
      <c r="B2785" s="129" t="s">
        <v>3749</v>
      </c>
      <c r="C2785" s="368"/>
      <c r="D2785" s="520" t="s">
        <v>3626</v>
      </c>
      <c r="E2785" s="521" t="s">
        <v>209</v>
      </c>
      <c r="F2785" s="518">
        <v>52.9</v>
      </c>
      <c r="G2785" s="274"/>
      <c r="H2785" s="275"/>
    </row>
    <row r="2786" spans="2:8" ht="14.25">
      <c r="B2786" s="129" t="s">
        <v>3750</v>
      </c>
      <c r="C2786" s="368"/>
      <c r="D2786" s="520" t="s">
        <v>3751</v>
      </c>
      <c r="E2786" s="521" t="s">
        <v>209</v>
      </c>
      <c r="F2786" s="518">
        <v>47.2</v>
      </c>
      <c r="G2786" s="274"/>
      <c r="H2786" s="275"/>
    </row>
    <row r="2787" spans="2:8" ht="14.25">
      <c r="B2787" s="129" t="s">
        <v>3752</v>
      </c>
      <c r="C2787" s="368"/>
      <c r="D2787" s="520" t="s">
        <v>3600</v>
      </c>
      <c r="E2787" s="521" t="s">
        <v>99</v>
      </c>
      <c r="F2787" s="518">
        <v>10</v>
      </c>
      <c r="G2787" s="274"/>
      <c r="H2787" s="275"/>
    </row>
    <row r="2788" spans="2:8" ht="14.25">
      <c r="B2788" s="129" t="s">
        <v>3753</v>
      </c>
      <c r="C2788" s="368"/>
      <c r="D2788" s="520" t="s">
        <v>3604</v>
      </c>
      <c r="E2788" s="521" t="s">
        <v>209</v>
      </c>
      <c r="F2788" s="518">
        <v>76.5</v>
      </c>
      <c r="G2788" s="274"/>
      <c r="H2788" s="275"/>
    </row>
    <row r="2789" spans="2:8" ht="25.5">
      <c r="B2789" s="129" t="s">
        <v>3754</v>
      </c>
      <c r="C2789" s="368"/>
      <c r="D2789" s="520" t="s">
        <v>3650</v>
      </c>
      <c r="E2789" s="521" t="s">
        <v>309</v>
      </c>
      <c r="F2789" s="518">
        <v>1</v>
      </c>
      <c r="G2789" s="274"/>
      <c r="H2789" s="275"/>
    </row>
    <row r="2790" spans="2:8" ht="43.5">
      <c r="B2790" s="186" t="s">
        <v>3755</v>
      </c>
      <c r="C2790" s="312"/>
      <c r="D2790" s="313" t="s">
        <v>3756</v>
      </c>
      <c r="E2790" s="314"/>
      <c r="F2790" s="283"/>
      <c r="G2790" s="233"/>
      <c r="H2790" s="234"/>
    </row>
    <row r="2791" spans="2:8" ht="14.25">
      <c r="B2791" s="129" t="s">
        <v>3757</v>
      </c>
      <c r="C2791" s="368"/>
      <c r="D2791" s="524" t="s">
        <v>3592</v>
      </c>
      <c r="E2791" s="521"/>
      <c r="F2791" s="518"/>
      <c r="G2791" s="274"/>
      <c r="H2791" s="275"/>
    </row>
    <row r="2792" spans="2:8" ht="14.25">
      <c r="B2792" s="129" t="s">
        <v>3758</v>
      </c>
      <c r="C2792" s="368"/>
      <c r="D2792" s="520" t="s">
        <v>3594</v>
      </c>
      <c r="E2792" s="521" t="s">
        <v>209</v>
      </c>
      <c r="F2792" s="525">
        <v>770</v>
      </c>
      <c r="G2792" s="274"/>
      <c r="H2792" s="275"/>
    </row>
    <row r="2793" spans="2:8" ht="14.25">
      <c r="B2793" s="129" t="s">
        <v>3759</v>
      </c>
      <c r="C2793" s="368"/>
      <c r="D2793" s="520" t="s">
        <v>3596</v>
      </c>
      <c r="E2793" s="521" t="s">
        <v>209</v>
      </c>
      <c r="F2793" s="525">
        <v>2230</v>
      </c>
      <c r="G2793" s="274"/>
      <c r="H2793" s="275"/>
    </row>
    <row r="2794" spans="2:8" ht="14.25">
      <c r="B2794" s="129" t="s">
        <v>3760</v>
      </c>
      <c r="C2794" s="368"/>
      <c r="D2794" s="520" t="s">
        <v>3598</v>
      </c>
      <c r="E2794" s="521" t="s">
        <v>99</v>
      </c>
      <c r="F2794" s="518">
        <v>20</v>
      </c>
      <c r="G2794" s="274"/>
      <c r="H2794" s="275"/>
    </row>
    <row r="2795" spans="2:8" ht="14.25">
      <c r="B2795" s="129" t="s">
        <v>3761</v>
      </c>
      <c r="C2795" s="368"/>
      <c r="D2795" s="520" t="s">
        <v>3600</v>
      </c>
      <c r="E2795" s="521" t="s">
        <v>99</v>
      </c>
      <c r="F2795" s="518">
        <v>337</v>
      </c>
      <c r="G2795" s="274"/>
      <c r="H2795" s="275"/>
    </row>
    <row r="2796" spans="2:8" ht="14.25">
      <c r="B2796" s="129" t="s">
        <v>3762</v>
      </c>
      <c r="C2796" s="368"/>
      <c r="D2796" s="520" t="s">
        <v>3602</v>
      </c>
      <c r="E2796" s="521" t="s">
        <v>99</v>
      </c>
      <c r="F2796" s="518">
        <v>50</v>
      </c>
      <c r="G2796" s="274"/>
      <c r="H2796" s="275"/>
    </row>
    <row r="2797" spans="2:8" ht="14.25">
      <c r="B2797" s="129" t="s">
        <v>3763</v>
      </c>
      <c r="C2797" s="368"/>
      <c r="D2797" s="520" t="s">
        <v>3604</v>
      </c>
      <c r="E2797" s="521" t="s">
        <v>209</v>
      </c>
      <c r="F2797" s="525">
        <v>954.09999999999991</v>
      </c>
      <c r="G2797" s="274"/>
      <c r="H2797" s="275"/>
    </row>
    <row r="2798" spans="2:8" ht="14.25">
      <c r="B2798" s="129" t="s">
        <v>3764</v>
      </c>
      <c r="C2798" s="368"/>
      <c r="D2798" s="520" t="s">
        <v>3606</v>
      </c>
      <c r="E2798" s="521" t="s">
        <v>309</v>
      </c>
      <c r="F2798" s="518">
        <v>1</v>
      </c>
      <c r="G2798" s="274"/>
      <c r="H2798" s="275"/>
    </row>
    <row r="2799" spans="2:8" ht="14.25">
      <c r="B2799" s="129" t="s">
        <v>3765</v>
      </c>
      <c r="C2799" s="368"/>
      <c r="D2799" s="520" t="s">
        <v>3608</v>
      </c>
      <c r="E2799" s="521" t="s">
        <v>99</v>
      </c>
      <c r="F2799" s="518">
        <v>50</v>
      </c>
      <c r="G2799" s="274"/>
      <c r="H2799" s="275"/>
    </row>
    <row r="2800" spans="2:8" ht="14.25">
      <c r="B2800" s="129" t="s">
        <v>3766</v>
      </c>
      <c r="C2800" s="368"/>
      <c r="D2800" s="520" t="s">
        <v>3610</v>
      </c>
      <c r="E2800" s="521" t="s">
        <v>99</v>
      </c>
      <c r="F2800" s="518">
        <v>11</v>
      </c>
      <c r="G2800" s="274"/>
      <c r="H2800" s="275"/>
    </row>
    <row r="2801" spans="2:8" ht="14.25">
      <c r="B2801" s="129" t="s">
        <v>3767</v>
      </c>
      <c r="C2801" s="368"/>
      <c r="D2801" s="520" t="s">
        <v>3680</v>
      </c>
      <c r="E2801" s="521" t="s">
        <v>99</v>
      </c>
      <c r="F2801" s="518">
        <v>135</v>
      </c>
      <c r="G2801" s="274"/>
      <c r="H2801" s="275"/>
    </row>
    <row r="2802" spans="2:8" ht="14.25">
      <c r="B2802" s="129" t="s">
        <v>3768</v>
      </c>
      <c r="C2802" s="368"/>
      <c r="D2802" s="520" t="s">
        <v>3612</v>
      </c>
      <c r="E2802" s="521" t="s">
        <v>99</v>
      </c>
      <c r="F2802" s="518">
        <v>2</v>
      </c>
      <c r="G2802" s="274"/>
      <c r="H2802" s="275"/>
    </row>
    <row r="2803" spans="2:8" ht="14.25">
      <c r="B2803" s="129" t="s">
        <v>3769</v>
      </c>
      <c r="C2803" s="368"/>
      <c r="D2803" s="520" t="s">
        <v>3614</v>
      </c>
      <c r="E2803" s="521" t="s">
        <v>99</v>
      </c>
      <c r="F2803" s="518">
        <v>168</v>
      </c>
      <c r="G2803" s="274"/>
      <c r="H2803" s="275"/>
    </row>
    <row r="2804" spans="2:8" ht="14.25">
      <c r="B2804" s="129" t="s">
        <v>3770</v>
      </c>
      <c r="C2804" s="368"/>
      <c r="D2804" s="520" t="s">
        <v>3616</v>
      </c>
      <c r="E2804" s="521" t="s">
        <v>99</v>
      </c>
      <c r="F2804" s="518">
        <v>31</v>
      </c>
      <c r="G2804" s="274"/>
      <c r="H2804" s="275"/>
    </row>
    <row r="2805" spans="2:8" ht="14.25">
      <c r="B2805" s="129" t="s">
        <v>3771</v>
      </c>
      <c r="C2805" s="368"/>
      <c r="D2805" s="520" t="s">
        <v>3683</v>
      </c>
      <c r="E2805" s="521" t="s">
        <v>99</v>
      </c>
      <c r="F2805" s="518">
        <v>4</v>
      </c>
      <c r="G2805" s="274"/>
      <c r="H2805" s="275"/>
    </row>
    <row r="2806" spans="2:8" ht="14.25">
      <c r="B2806" s="129" t="s">
        <v>3772</v>
      </c>
      <c r="C2806" s="368"/>
      <c r="D2806" s="520" t="s">
        <v>3685</v>
      </c>
      <c r="E2806" s="521" t="s">
        <v>99</v>
      </c>
      <c r="F2806" s="518">
        <v>13</v>
      </c>
      <c r="G2806" s="274"/>
      <c r="H2806" s="275"/>
    </row>
    <row r="2807" spans="2:8" ht="14.25">
      <c r="B2807" s="183" t="s">
        <v>3773</v>
      </c>
      <c r="C2807" s="519"/>
      <c r="D2807" s="520" t="s">
        <v>3618</v>
      </c>
      <c r="E2807" s="521" t="s">
        <v>99</v>
      </c>
      <c r="F2807" s="518">
        <v>9</v>
      </c>
      <c r="G2807" s="522"/>
      <c r="H2807" s="523"/>
    </row>
    <row r="2808" spans="2:8" ht="14.25">
      <c r="B2808" s="129" t="s">
        <v>3774</v>
      </c>
      <c r="C2808" s="368"/>
      <c r="D2808" s="524" t="s">
        <v>3620</v>
      </c>
      <c r="E2808" s="521"/>
      <c r="F2808" s="518"/>
      <c r="G2808" s="274"/>
      <c r="H2808" s="275"/>
    </row>
    <row r="2809" spans="2:8" ht="14.25">
      <c r="B2809" s="129" t="s">
        <v>3775</v>
      </c>
      <c r="C2809" s="368"/>
      <c r="D2809" s="520" t="s">
        <v>3622</v>
      </c>
      <c r="E2809" s="521" t="s">
        <v>209</v>
      </c>
      <c r="F2809" s="518">
        <v>809.5</v>
      </c>
      <c r="G2809" s="274"/>
      <c r="H2809" s="275"/>
    </row>
    <row r="2810" spans="2:8" ht="14.25">
      <c r="B2810" s="129" t="s">
        <v>3776</v>
      </c>
      <c r="C2810" s="368"/>
      <c r="D2810" s="520" t="s">
        <v>3624</v>
      </c>
      <c r="E2810" s="521" t="s">
        <v>209</v>
      </c>
      <c r="F2810" s="518">
        <v>2344.8000000000002</v>
      </c>
      <c r="G2810" s="274"/>
      <c r="H2810" s="275"/>
    </row>
    <row r="2811" spans="2:8" ht="14.25">
      <c r="B2811" s="129" t="s">
        <v>3777</v>
      </c>
      <c r="C2811" s="368"/>
      <c r="D2811" s="520" t="s">
        <v>3626</v>
      </c>
      <c r="E2811" s="521" t="s">
        <v>209</v>
      </c>
      <c r="F2811" s="518">
        <v>1215.5</v>
      </c>
      <c r="G2811" s="274"/>
      <c r="H2811" s="275"/>
    </row>
    <row r="2812" spans="2:8" ht="14.25">
      <c r="B2812" s="129" t="s">
        <v>3778</v>
      </c>
      <c r="C2812" s="368"/>
      <c r="D2812" s="520" t="s">
        <v>3598</v>
      </c>
      <c r="E2812" s="521" t="s">
        <v>99</v>
      </c>
      <c r="F2812" s="518">
        <v>20</v>
      </c>
      <c r="G2812" s="274"/>
      <c r="H2812" s="275"/>
    </row>
    <row r="2813" spans="2:8" ht="14.25">
      <c r="B2813" s="129" t="s">
        <v>3779</v>
      </c>
      <c r="C2813" s="368"/>
      <c r="D2813" s="520" t="s">
        <v>3600</v>
      </c>
      <c r="E2813" s="521" t="s">
        <v>99</v>
      </c>
      <c r="F2813" s="518">
        <v>70</v>
      </c>
      <c r="G2813" s="274"/>
      <c r="H2813" s="275"/>
    </row>
    <row r="2814" spans="2:8" ht="14.25">
      <c r="B2814" s="129" t="s">
        <v>3780</v>
      </c>
      <c r="C2814" s="368"/>
      <c r="D2814" s="520" t="s">
        <v>3602</v>
      </c>
      <c r="E2814" s="521" t="s">
        <v>99</v>
      </c>
      <c r="F2814" s="518">
        <v>20</v>
      </c>
      <c r="G2814" s="274"/>
      <c r="H2814" s="275"/>
    </row>
    <row r="2815" spans="2:8" ht="14.25">
      <c r="B2815" s="129" t="s">
        <v>3781</v>
      </c>
      <c r="C2815" s="368"/>
      <c r="D2815" s="520" t="s">
        <v>3604</v>
      </c>
      <c r="E2815" s="521" t="s">
        <v>209</v>
      </c>
      <c r="F2815" s="518">
        <v>586.20000000000005</v>
      </c>
      <c r="G2815" s="274"/>
      <c r="H2815" s="275"/>
    </row>
    <row r="2816" spans="2:8" ht="14.25">
      <c r="B2816" s="129" t="s">
        <v>3782</v>
      </c>
      <c r="C2816" s="368"/>
      <c r="D2816" s="520" t="s">
        <v>3783</v>
      </c>
      <c r="E2816" s="521" t="s">
        <v>209</v>
      </c>
      <c r="F2816" s="518">
        <v>293.10000000000002</v>
      </c>
      <c r="G2816" s="274"/>
      <c r="H2816" s="275"/>
    </row>
    <row r="2817" spans="2:8" ht="14.25">
      <c r="B2817" s="129" t="s">
        <v>3784</v>
      </c>
      <c r="C2817" s="368"/>
      <c r="D2817" s="520" t="s">
        <v>3606</v>
      </c>
      <c r="E2817" s="521" t="s">
        <v>309</v>
      </c>
      <c r="F2817" s="518">
        <v>1</v>
      </c>
      <c r="G2817" s="274"/>
      <c r="H2817" s="275"/>
    </row>
    <row r="2818" spans="2:8" ht="14.25">
      <c r="B2818" s="129" t="s">
        <v>3785</v>
      </c>
      <c r="C2818" s="368"/>
      <c r="D2818" s="520" t="s">
        <v>3633</v>
      </c>
      <c r="E2818" s="521" t="s">
        <v>99</v>
      </c>
      <c r="F2818" s="518">
        <v>68</v>
      </c>
      <c r="G2818" s="274"/>
      <c r="H2818" s="275"/>
    </row>
    <row r="2819" spans="2:8" ht="14.25">
      <c r="B2819" s="129" t="s">
        <v>3786</v>
      </c>
      <c r="C2819" s="368"/>
      <c r="D2819" s="520" t="s">
        <v>3635</v>
      </c>
      <c r="E2819" s="521" t="s">
        <v>99</v>
      </c>
      <c r="F2819" s="518">
        <v>78</v>
      </c>
      <c r="G2819" s="274"/>
      <c r="H2819" s="275"/>
    </row>
    <row r="2820" spans="2:8" ht="14.25">
      <c r="B2820" s="129" t="s">
        <v>3787</v>
      </c>
      <c r="C2820" s="368"/>
      <c r="D2820" s="520" t="s">
        <v>3637</v>
      </c>
      <c r="E2820" s="521" t="s">
        <v>99</v>
      </c>
      <c r="F2820" s="518">
        <v>1</v>
      </c>
      <c r="G2820" s="274"/>
      <c r="H2820" s="275"/>
    </row>
    <row r="2821" spans="2:8" ht="14.25">
      <c r="B2821" s="129" t="s">
        <v>3788</v>
      </c>
      <c r="C2821" s="368"/>
      <c r="D2821" s="524" t="s">
        <v>3789</v>
      </c>
      <c r="E2821" s="521"/>
      <c r="F2821" s="518"/>
      <c r="G2821" s="274"/>
      <c r="H2821" s="275"/>
    </row>
    <row r="2822" spans="2:8" ht="14.25">
      <c r="B2822" s="129" t="s">
        <v>3790</v>
      </c>
      <c r="C2822" s="368"/>
      <c r="D2822" s="520" t="s">
        <v>3641</v>
      </c>
      <c r="E2822" s="521" t="s">
        <v>209</v>
      </c>
      <c r="F2822" s="518">
        <v>645.09999999999991</v>
      </c>
      <c r="G2822" s="274"/>
      <c r="H2822" s="275"/>
    </row>
    <row r="2823" spans="2:8" ht="14.25">
      <c r="B2823" s="129" t="s">
        <v>3791</v>
      </c>
      <c r="C2823" s="368"/>
      <c r="D2823" s="520" t="s">
        <v>3643</v>
      </c>
      <c r="E2823" s="521" t="s">
        <v>209</v>
      </c>
      <c r="F2823" s="518">
        <v>630</v>
      </c>
      <c r="G2823" s="274"/>
      <c r="H2823" s="275"/>
    </row>
    <row r="2824" spans="2:8" ht="14.25">
      <c r="B2824" s="129" t="s">
        <v>3792</v>
      </c>
      <c r="C2824" s="368"/>
      <c r="D2824" s="520" t="s">
        <v>3645</v>
      </c>
      <c r="E2824" s="521" t="s">
        <v>209</v>
      </c>
      <c r="F2824" s="518">
        <v>52.2</v>
      </c>
      <c r="G2824" s="274"/>
      <c r="H2824" s="275"/>
    </row>
    <row r="2825" spans="2:8" ht="14.25">
      <c r="B2825" s="129" t="s">
        <v>3793</v>
      </c>
      <c r="C2825" s="368"/>
      <c r="D2825" s="520" t="s">
        <v>3626</v>
      </c>
      <c r="E2825" s="521" t="s">
        <v>209</v>
      </c>
      <c r="F2825" s="518">
        <v>490.09999999999997</v>
      </c>
      <c r="G2825" s="274"/>
      <c r="H2825" s="275"/>
    </row>
    <row r="2826" spans="2:8" ht="14.25">
      <c r="B2826" s="129" t="s">
        <v>3794</v>
      </c>
      <c r="C2826" s="368"/>
      <c r="D2826" s="520" t="s">
        <v>3751</v>
      </c>
      <c r="E2826" s="521" t="s">
        <v>99</v>
      </c>
      <c r="F2826" s="518">
        <v>408</v>
      </c>
      <c r="G2826" s="274"/>
      <c r="H2826" s="275"/>
    </row>
    <row r="2827" spans="2:8" ht="14.25">
      <c r="B2827" s="129" t="s">
        <v>3795</v>
      </c>
      <c r="C2827" s="368"/>
      <c r="D2827" s="520" t="s">
        <v>3796</v>
      </c>
      <c r="E2827" s="521" t="s">
        <v>209</v>
      </c>
      <c r="F2827" s="518">
        <v>52.2</v>
      </c>
      <c r="G2827" s="274"/>
      <c r="H2827" s="275"/>
    </row>
    <row r="2828" spans="2:8" ht="14.25">
      <c r="B2828" s="129" t="s">
        <v>3797</v>
      </c>
      <c r="C2828" s="368"/>
      <c r="D2828" s="520" t="s">
        <v>3600</v>
      </c>
      <c r="E2828" s="521" t="s">
        <v>209</v>
      </c>
      <c r="F2828" s="518">
        <v>30</v>
      </c>
      <c r="G2828" s="274"/>
      <c r="H2828" s="275"/>
    </row>
    <row r="2829" spans="2:8" ht="14.25">
      <c r="B2829" s="129" t="s">
        <v>3798</v>
      </c>
      <c r="C2829" s="368"/>
      <c r="D2829" s="520" t="s">
        <v>3604</v>
      </c>
      <c r="E2829" s="521" t="s">
        <v>99</v>
      </c>
      <c r="F2829" s="518">
        <v>222.30000000000004</v>
      </c>
      <c r="G2829" s="274"/>
      <c r="H2829" s="275"/>
    </row>
    <row r="2830" spans="2:8" ht="14.25">
      <c r="B2830" s="129" t="s">
        <v>3799</v>
      </c>
      <c r="C2830" s="368"/>
      <c r="D2830" s="520" t="s">
        <v>3783</v>
      </c>
      <c r="E2830" s="521" t="s">
        <v>209</v>
      </c>
      <c r="F2830" s="518">
        <v>11.1</v>
      </c>
      <c r="G2830" s="274"/>
      <c r="H2830" s="275"/>
    </row>
    <row r="2831" spans="2:8" ht="25.5">
      <c r="B2831" s="129" t="s">
        <v>3800</v>
      </c>
      <c r="C2831" s="368"/>
      <c r="D2831" s="520" t="s">
        <v>3650</v>
      </c>
      <c r="E2831" s="521" t="s">
        <v>309</v>
      </c>
      <c r="F2831" s="518">
        <v>1</v>
      </c>
      <c r="G2831" s="274"/>
      <c r="H2831" s="275"/>
    </row>
    <row r="2832" spans="2:8" ht="14.25">
      <c r="B2832" s="129" t="s">
        <v>3801</v>
      </c>
      <c r="C2832" s="368"/>
      <c r="D2832" s="524" t="s">
        <v>3652</v>
      </c>
      <c r="E2832" s="521"/>
      <c r="F2832" s="518"/>
      <c r="G2832" s="274"/>
      <c r="H2832" s="275"/>
    </row>
    <row r="2833" spans="2:8" ht="14.25">
      <c r="B2833" s="129" t="s">
        <v>3802</v>
      </c>
      <c r="C2833" s="368"/>
      <c r="D2833" s="520" t="s">
        <v>3654</v>
      </c>
      <c r="E2833" s="521" t="s">
        <v>99</v>
      </c>
      <c r="F2833" s="518">
        <v>50</v>
      </c>
      <c r="G2833" s="274"/>
      <c r="H2833" s="275"/>
    </row>
    <row r="2834" spans="2:8" ht="14.25">
      <c r="B2834" s="129" t="s">
        <v>3803</v>
      </c>
      <c r="C2834" s="368"/>
      <c r="D2834" s="520" t="s">
        <v>3656</v>
      </c>
      <c r="E2834" s="521" t="s">
        <v>99</v>
      </c>
      <c r="F2834" s="518">
        <v>5</v>
      </c>
      <c r="G2834" s="274"/>
      <c r="H2834" s="275"/>
    </row>
    <row r="2835" spans="2:8" ht="14.25">
      <c r="B2835" s="129" t="s">
        <v>3804</v>
      </c>
      <c r="C2835" s="368"/>
      <c r="D2835" s="520" t="s">
        <v>3658</v>
      </c>
      <c r="E2835" s="521" t="s">
        <v>209</v>
      </c>
      <c r="F2835" s="518">
        <v>400</v>
      </c>
      <c r="G2835" s="274"/>
      <c r="H2835" s="275"/>
    </row>
    <row r="2836" spans="2:8" ht="14.25">
      <c r="B2836" s="129" t="s">
        <v>3805</v>
      </c>
      <c r="C2836" s="368"/>
      <c r="D2836" s="520" t="s">
        <v>3660</v>
      </c>
      <c r="E2836" s="521" t="s">
        <v>309</v>
      </c>
      <c r="F2836" s="518">
        <v>1</v>
      </c>
      <c r="G2836" s="274"/>
      <c r="H2836" s="275"/>
    </row>
    <row r="2837" spans="2:8" ht="14.25">
      <c r="B2837" s="129" t="s">
        <v>3806</v>
      </c>
      <c r="C2837" s="368"/>
      <c r="D2837" s="524" t="s">
        <v>3662</v>
      </c>
      <c r="E2837" s="521"/>
      <c r="F2837" s="518"/>
      <c r="G2837" s="274"/>
      <c r="H2837" s="275"/>
    </row>
    <row r="2838" spans="2:8" ht="14.25">
      <c r="B2838" s="129" t="s">
        <v>3807</v>
      </c>
      <c r="C2838" s="368"/>
      <c r="D2838" s="520" t="s">
        <v>3717</v>
      </c>
      <c r="E2838" s="521" t="s">
        <v>209</v>
      </c>
      <c r="F2838" s="518">
        <v>30</v>
      </c>
      <c r="G2838" s="274"/>
      <c r="H2838" s="275"/>
    </row>
    <row r="2839" spans="2:8" ht="14.25">
      <c r="B2839" s="129" t="s">
        <v>3808</v>
      </c>
      <c r="C2839" s="368"/>
      <c r="D2839" s="520" t="s">
        <v>3664</v>
      </c>
      <c r="E2839" s="521" t="s">
        <v>209</v>
      </c>
      <c r="F2839" s="518">
        <v>100</v>
      </c>
      <c r="G2839" s="274"/>
      <c r="H2839" s="275"/>
    </row>
    <row r="2840" spans="2:8" ht="14.25">
      <c r="B2840" s="129" t="s">
        <v>3809</v>
      </c>
      <c r="C2840" s="368"/>
      <c r="D2840" s="520" t="s">
        <v>3666</v>
      </c>
      <c r="E2840" s="521" t="s">
        <v>309</v>
      </c>
      <c r="F2840" s="518">
        <v>1</v>
      </c>
      <c r="G2840" s="274"/>
      <c r="H2840" s="275"/>
    </row>
    <row r="2841" spans="2:8" ht="43.5">
      <c r="B2841" s="186" t="s">
        <v>3810</v>
      </c>
      <c r="C2841" s="312"/>
      <c r="D2841" s="313" t="s">
        <v>3811</v>
      </c>
      <c r="E2841" s="314"/>
      <c r="F2841" s="283"/>
      <c r="G2841" s="233"/>
      <c r="H2841" s="234"/>
    </row>
    <row r="2842" spans="2:8" ht="14.25">
      <c r="B2842" s="129" t="s">
        <v>3812</v>
      </c>
      <c r="C2842" s="368"/>
      <c r="D2842" s="395" t="s">
        <v>3592</v>
      </c>
      <c r="E2842" s="189"/>
      <c r="F2842" s="384"/>
      <c r="G2842" s="274"/>
      <c r="H2842" s="275"/>
    </row>
    <row r="2843" spans="2:8" ht="14.25">
      <c r="B2843" s="129" t="s">
        <v>3813</v>
      </c>
      <c r="C2843" s="368"/>
      <c r="D2843" s="385" t="s">
        <v>3594</v>
      </c>
      <c r="E2843" s="189" t="s">
        <v>209</v>
      </c>
      <c r="F2843" s="389">
        <v>750</v>
      </c>
      <c r="G2843" s="274"/>
      <c r="H2843" s="275"/>
    </row>
    <row r="2844" spans="2:8" ht="14.25">
      <c r="B2844" s="129" t="s">
        <v>3814</v>
      </c>
      <c r="C2844" s="368"/>
      <c r="D2844" s="385" t="s">
        <v>3596</v>
      </c>
      <c r="E2844" s="189" t="s">
        <v>209</v>
      </c>
      <c r="F2844" s="389">
        <v>2110</v>
      </c>
      <c r="G2844" s="274"/>
      <c r="H2844" s="275"/>
    </row>
    <row r="2845" spans="2:8" ht="14.25">
      <c r="B2845" s="129" t="s">
        <v>3815</v>
      </c>
      <c r="C2845" s="368"/>
      <c r="D2845" s="385" t="s">
        <v>3598</v>
      </c>
      <c r="E2845" s="189" t="s">
        <v>99</v>
      </c>
      <c r="F2845" s="384">
        <v>20</v>
      </c>
      <c r="G2845" s="274"/>
      <c r="H2845" s="275"/>
    </row>
    <row r="2846" spans="2:8" ht="14.25">
      <c r="B2846" s="129" t="s">
        <v>3816</v>
      </c>
      <c r="C2846" s="368"/>
      <c r="D2846" s="385" t="s">
        <v>3600</v>
      </c>
      <c r="E2846" s="189" t="s">
        <v>99</v>
      </c>
      <c r="F2846" s="384">
        <v>330</v>
      </c>
      <c r="G2846" s="274"/>
      <c r="H2846" s="275"/>
    </row>
    <row r="2847" spans="2:8" ht="14.25">
      <c r="B2847" s="129" t="s">
        <v>3817</v>
      </c>
      <c r="C2847" s="368"/>
      <c r="D2847" s="385" t="s">
        <v>3602</v>
      </c>
      <c r="E2847" s="189" t="s">
        <v>99</v>
      </c>
      <c r="F2847" s="384">
        <v>32</v>
      </c>
      <c r="G2847" s="274"/>
      <c r="H2847" s="275"/>
    </row>
    <row r="2848" spans="2:8" ht="14.25">
      <c r="B2848" s="129" t="s">
        <v>3818</v>
      </c>
      <c r="C2848" s="368"/>
      <c r="D2848" s="385" t="s">
        <v>3604</v>
      </c>
      <c r="E2848" s="189" t="s">
        <v>209</v>
      </c>
      <c r="F2848" s="389">
        <v>1000</v>
      </c>
      <c r="G2848" s="274"/>
      <c r="H2848" s="275"/>
    </row>
    <row r="2849" spans="2:8" ht="14.25">
      <c r="B2849" s="129" t="s">
        <v>3819</v>
      </c>
      <c r="C2849" s="368"/>
      <c r="D2849" s="385" t="s">
        <v>3606</v>
      </c>
      <c r="E2849" s="189" t="s">
        <v>309</v>
      </c>
      <c r="F2849" s="384">
        <v>1</v>
      </c>
      <c r="G2849" s="274"/>
      <c r="H2849" s="275"/>
    </row>
    <row r="2850" spans="2:8" ht="14.25">
      <c r="B2850" s="129" t="s">
        <v>3820</v>
      </c>
      <c r="C2850" s="368"/>
      <c r="D2850" s="385" t="s">
        <v>3608</v>
      </c>
      <c r="E2850" s="189" t="s">
        <v>99</v>
      </c>
      <c r="F2850" s="384">
        <v>38</v>
      </c>
      <c r="G2850" s="274"/>
      <c r="H2850" s="275"/>
    </row>
    <row r="2851" spans="2:8" ht="14.25">
      <c r="B2851" s="129" t="s">
        <v>3821</v>
      </c>
      <c r="C2851" s="368"/>
      <c r="D2851" s="385" t="s">
        <v>3610</v>
      </c>
      <c r="E2851" s="189" t="s">
        <v>99</v>
      </c>
      <c r="F2851" s="384">
        <v>8</v>
      </c>
      <c r="G2851" s="274"/>
      <c r="H2851" s="275"/>
    </row>
    <row r="2852" spans="2:8" ht="14.25">
      <c r="B2852" s="129" t="s">
        <v>3822</v>
      </c>
      <c r="C2852" s="368"/>
      <c r="D2852" s="385" t="s">
        <v>3680</v>
      </c>
      <c r="E2852" s="189" t="s">
        <v>99</v>
      </c>
      <c r="F2852" s="384">
        <v>177</v>
      </c>
      <c r="G2852" s="274"/>
      <c r="H2852" s="275"/>
    </row>
    <row r="2853" spans="2:8" ht="14.25">
      <c r="B2853" s="129" t="s">
        <v>3823</v>
      </c>
      <c r="C2853" s="368"/>
      <c r="D2853" s="385" t="s">
        <v>3612</v>
      </c>
      <c r="E2853" s="189" t="s">
        <v>99</v>
      </c>
      <c r="F2853" s="384">
        <v>2</v>
      </c>
      <c r="G2853" s="274"/>
      <c r="H2853" s="275"/>
    </row>
    <row r="2854" spans="2:8" ht="14.25">
      <c r="B2854" s="129" t="s">
        <v>3824</v>
      </c>
      <c r="C2854" s="368"/>
      <c r="D2854" s="385" t="s">
        <v>3614</v>
      </c>
      <c r="E2854" s="189" t="s">
        <v>99</v>
      </c>
      <c r="F2854" s="384">
        <v>124</v>
      </c>
      <c r="G2854" s="274"/>
      <c r="H2854" s="275"/>
    </row>
    <row r="2855" spans="2:8" ht="14.25">
      <c r="B2855" s="129" t="s">
        <v>3825</v>
      </c>
      <c r="C2855" s="368"/>
      <c r="D2855" s="385" t="s">
        <v>3616</v>
      </c>
      <c r="E2855" s="189" t="s">
        <v>99</v>
      </c>
      <c r="F2855" s="384">
        <v>44</v>
      </c>
      <c r="G2855" s="274"/>
      <c r="H2855" s="275"/>
    </row>
    <row r="2856" spans="2:8" ht="14.25">
      <c r="B2856" s="129" t="s">
        <v>3826</v>
      </c>
      <c r="C2856" s="368"/>
      <c r="D2856" s="385" t="s">
        <v>3685</v>
      </c>
      <c r="E2856" s="189" t="s">
        <v>99</v>
      </c>
      <c r="F2856" s="384">
        <v>16</v>
      </c>
      <c r="G2856" s="526"/>
      <c r="H2856" s="527"/>
    </row>
    <row r="2857" spans="2:8" ht="14.25">
      <c r="B2857" s="129" t="s">
        <v>3827</v>
      </c>
      <c r="C2857" s="368"/>
      <c r="D2857" s="395" t="s">
        <v>3620</v>
      </c>
      <c r="E2857" s="189"/>
      <c r="F2857" s="384"/>
      <c r="G2857" s="274"/>
      <c r="H2857" s="275"/>
    </row>
    <row r="2858" spans="2:8" ht="14.25">
      <c r="B2858" s="129" t="s">
        <v>3828</v>
      </c>
      <c r="C2858" s="368"/>
      <c r="D2858" s="520" t="s">
        <v>3622</v>
      </c>
      <c r="E2858" s="521" t="s">
        <v>209</v>
      </c>
      <c r="F2858" s="518">
        <v>1220.58</v>
      </c>
      <c r="G2858" s="274"/>
      <c r="H2858" s="275"/>
    </row>
    <row r="2859" spans="2:8" ht="14.25">
      <c r="B2859" s="129" t="s">
        <v>3829</v>
      </c>
      <c r="C2859" s="368"/>
      <c r="D2859" s="520" t="s">
        <v>3624</v>
      </c>
      <c r="E2859" s="521" t="s">
        <v>209</v>
      </c>
      <c r="F2859" s="518">
        <v>2772.6800000000012</v>
      </c>
      <c r="G2859" s="274"/>
      <c r="H2859" s="275"/>
    </row>
    <row r="2860" spans="2:8" ht="14.25">
      <c r="B2860" s="129" t="s">
        <v>3830</v>
      </c>
      <c r="C2860" s="368"/>
      <c r="D2860" s="520" t="s">
        <v>3626</v>
      </c>
      <c r="E2860" s="521" t="s">
        <v>209</v>
      </c>
      <c r="F2860" s="518">
        <v>1644.8100000000006</v>
      </c>
      <c r="G2860" s="274"/>
      <c r="H2860" s="275"/>
    </row>
    <row r="2861" spans="2:8" ht="14.25">
      <c r="B2861" s="129" t="s">
        <v>3831</v>
      </c>
      <c r="C2861" s="368"/>
      <c r="D2861" s="520" t="s">
        <v>3598</v>
      </c>
      <c r="E2861" s="521" t="s">
        <v>99</v>
      </c>
      <c r="F2861" s="518">
        <v>27</v>
      </c>
      <c r="G2861" s="274"/>
      <c r="H2861" s="275"/>
    </row>
    <row r="2862" spans="2:8" ht="14.25">
      <c r="B2862" s="129" t="s">
        <v>3832</v>
      </c>
      <c r="C2862" s="368"/>
      <c r="D2862" s="520" t="s">
        <v>3600</v>
      </c>
      <c r="E2862" s="521" t="s">
        <v>99</v>
      </c>
      <c r="F2862" s="518">
        <v>200</v>
      </c>
      <c r="G2862" s="274"/>
      <c r="H2862" s="275"/>
    </row>
    <row r="2863" spans="2:8" ht="14.25">
      <c r="B2863" s="129" t="s">
        <v>3833</v>
      </c>
      <c r="C2863" s="368"/>
      <c r="D2863" s="520" t="s">
        <v>3602</v>
      </c>
      <c r="E2863" s="521" t="s">
        <v>99</v>
      </c>
      <c r="F2863" s="518">
        <v>44</v>
      </c>
      <c r="G2863" s="274"/>
      <c r="H2863" s="275"/>
    </row>
    <row r="2864" spans="2:8" ht="14.25">
      <c r="B2864" s="129" t="s">
        <v>3834</v>
      </c>
      <c r="C2864" s="368"/>
      <c r="D2864" s="520" t="s">
        <v>3604</v>
      </c>
      <c r="E2864" s="521" t="s">
        <v>209</v>
      </c>
      <c r="F2864" s="518">
        <v>1386.3400000000006</v>
      </c>
      <c r="G2864" s="274"/>
      <c r="H2864" s="275"/>
    </row>
    <row r="2865" spans="2:8" ht="14.25">
      <c r="B2865" s="129" t="s">
        <v>3835</v>
      </c>
      <c r="C2865" s="368"/>
      <c r="D2865" s="520" t="s">
        <v>3783</v>
      </c>
      <c r="E2865" s="521" t="s">
        <v>209</v>
      </c>
      <c r="F2865" s="518">
        <v>554.53600000000029</v>
      </c>
      <c r="G2865" s="274"/>
      <c r="H2865" s="275"/>
    </row>
    <row r="2866" spans="2:8" ht="14.25">
      <c r="B2866" s="129" t="s">
        <v>3836</v>
      </c>
      <c r="C2866" s="368"/>
      <c r="D2866" s="520" t="s">
        <v>3606</v>
      </c>
      <c r="E2866" s="521" t="s">
        <v>309</v>
      </c>
      <c r="F2866" s="518">
        <v>1</v>
      </c>
      <c r="G2866" s="274"/>
      <c r="H2866" s="275"/>
    </row>
    <row r="2867" spans="2:8" ht="14.25">
      <c r="B2867" s="129" t="s">
        <v>3837</v>
      </c>
      <c r="C2867" s="368"/>
      <c r="D2867" s="520" t="s">
        <v>3633</v>
      </c>
      <c r="E2867" s="521" t="s">
        <v>99</v>
      </c>
      <c r="F2867" s="518">
        <v>78</v>
      </c>
      <c r="G2867" s="274"/>
      <c r="H2867" s="275"/>
    </row>
    <row r="2868" spans="2:8" ht="14.25">
      <c r="B2868" s="129" t="s">
        <v>3838</v>
      </c>
      <c r="C2868" s="368"/>
      <c r="D2868" s="520" t="s">
        <v>3635</v>
      </c>
      <c r="E2868" s="521" t="s">
        <v>99</v>
      </c>
      <c r="F2868" s="518">
        <v>118</v>
      </c>
      <c r="G2868" s="274"/>
      <c r="H2868" s="275"/>
    </row>
    <row r="2869" spans="2:8" ht="14.25">
      <c r="B2869" s="129" t="s">
        <v>3839</v>
      </c>
      <c r="C2869" s="368"/>
      <c r="D2869" s="520" t="s">
        <v>3637</v>
      </c>
      <c r="E2869" s="521" t="s">
        <v>99</v>
      </c>
      <c r="F2869" s="518">
        <v>1</v>
      </c>
      <c r="G2869" s="274"/>
      <c r="H2869" s="275"/>
    </row>
    <row r="2870" spans="2:8" ht="14.25">
      <c r="B2870" s="129" t="s">
        <v>3840</v>
      </c>
      <c r="C2870" s="368"/>
      <c r="D2870" s="395" t="s">
        <v>3639</v>
      </c>
      <c r="E2870" s="189"/>
      <c r="F2870" s="384"/>
      <c r="G2870" s="274"/>
      <c r="H2870" s="275"/>
    </row>
    <row r="2871" spans="2:8" ht="14.25">
      <c r="B2871" s="129" t="s">
        <v>3841</v>
      </c>
      <c r="C2871" s="368"/>
      <c r="D2871" s="520" t="s">
        <v>3641</v>
      </c>
      <c r="E2871" s="521" t="s">
        <v>209</v>
      </c>
      <c r="F2871" s="518">
        <v>1064.4000000000001</v>
      </c>
      <c r="G2871" s="274"/>
      <c r="H2871" s="275"/>
    </row>
    <row r="2872" spans="2:8" ht="14.25">
      <c r="B2872" s="129" t="s">
        <v>3842</v>
      </c>
      <c r="C2872" s="368"/>
      <c r="D2872" s="520" t="s">
        <v>3643</v>
      </c>
      <c r="E2872" s="521" t="s">
        <v>209</v>
      </c>
      <c r="F2872" s="518">
        <v>223.6</v>
      </c>
      <c r="G2872" s="274"/>
      <c r="H2872" s="275"/>
    </row>
    <row r="2873" spans="2:8" ht="14.25">
      <c r="B2873" s="129" t="s">
        <v>3843</v>
      </c>
      <c r="C2873" s="368"/>
      <c r="D2873" s="520" t="s">
        <v>3645</v>
      </c>
      <c r="E2873" s="521" t="s">
        <v>209</v>
      </c>
      <c r="F2873" s="518">
        <v>122.19999999999999</v>
      </c>
      <c r="G2873" s="274"/>
      <c r="H2873" s="275"/>
    </row>
    <row r="2874" spans="2:8" ht="14.25">
      <c r="B2874" s="129" t="s">
        <v>3844</v>
      </c>
      <c r="C2874" s="368"/>
      <c r="D2874" s="520" t="s">
        <v>3626</v>
      </c>
      <c r="E2874" s="521" t="s">
        <v>209</v>
      </c>
      <c r="F2874" s="518">
        <v>1064.4000000000001</v>
      </c>
      <c r="G2874" s="274"/>
      <c r="H2874" s="275"/>
    </row>
    <row r="2875" spans="2:8" ht="14.25">
      <c r="B2875" s="129" t="s">
        <v>3845</v>
      </c>
      <c r="C2875" s="368"/>
      <c r="D2875" s="520" t="s">
        <v>3751</v>
      </c>
      <c r="E2875" s="521" t="s">
        <v>209</v>
      </c>
      <c r="F2875" s="518">
        <v>223.6</v>
      </c>
      <c r="G2875" s="274"/>
      <c r="H2875" s="275"/>
    </row>
    <row r="2876" spans="2:8" ht="14.25">
      <c r="B2876" s="129" t="s">
        <v>3846</v>
      </c>
      <c r="C2876" s="368"/>
      <c r="D2876" s="520" t="s">
        <v>3796</v>
      </c>
      <c r="E2876" s="521" t="s">
        <v>209</v>
      </c>
      <c r="F2876" s="518">
        <v>122.19999999999999</v>
      </c>
      <c r="G2876" s="274"/>
      <c r="H2876" s="275"/>
    </row>
    <row r="2877" spans="2:8" ht="14.25">
      <c r="B2877" s="129" t="s">
        <v>3847</v>
      </c>
      <c r="C2877" s="368"/>
      <c r="D2877" s="520" t="s">
        <v>3600</v>
      </c>
      <c r="E2877" s="521" t="s">
        <v>209</v>
      </c>
      <c r="F2877" s="518">
        <v>30</v>
      </c>
      <c r="G2877" s="274"/>
      <c r="H2877" s="275"/>
    </row>
    <row r="2878" spans="2:8" ht="14.25">
      <c r="B2878" s="129" t="s">
        <v>3848</v>
      </c>
      <c r="C2878" s="368"/>
      <c r="D2878" s="520" t="s">
        <v>3604</v>
      </c>
      <c r="E2878" s="521" t="s">
        <v>209</v>
      </c>
      <c r="F2878" s="518">
        <v>259.00000000000006</v>
      </c>
      <c r="G2878" s="274"/>
      <c r="H2878" s="275"/>
    </row>
    <row r="2879" spans="2:8" ht="14.25">
      <c r="B2879" s="129" t="s">
        <v>3849</v>
      </c>
      <c r="C2879" s="368"/>
      <c r="D2879" s="520" t="s">
        <v>3783</v>
      </c>
      <c r="E2879" s="521" t="s">
        <v>99</v>
      </c>
      <c r="F2879" s="518">
        <v>22.9</v>
      </c>
      <c r="G2879" s="274"/>
      <c r="H2879" s="275"/>
    </row>
    <row r="2880" spans="2:8" ht="25.5">
      <c r="B2880" s="129" t="s">
        <v>3850</v>
      </c>
      <c r="C2880" s="368"/>
      <c r="D2880" s="520" t="s">
        <v>3650</v>
      </c>
      <c r="E2880" s="521" t="s">
        <v>209</v>
      </c>
      <c r="F2880" s="518">
        <v>1</v>
      </c>
      <c r="G2880" s="274"/>
      <c r="H2880" s="275"/>
    </row>
    <row r="2881" spans="2:8" ht="14.25">
      <c r="B2881" s="129" t="s">
        <v>3851</v>
      </c>
      <c r="C2881" s="368"/>
      <c r="D2881" s="524" t="s">
        <v>3652</v>
      </c>
      <c r="E2881" s="521"/>
      <c r="F2881" s="518"/>
      <c r="G2881" s="274"/>
      <c r="H2881" s="275"/>
    </row>
    <row r="2882" spans="2:8" ht="14.25">
      <c r="B2882" s="129" t="s">
        <v>3852</v>
      </c>
      <c r="C2882" s="368"/>
      <c r="D2882" s="520" t="s">
        <v>3654</v>
      </c>
      <c r="E2882" s="521" t="s">
        <v>99</v>
      </c>
      <c r="F2882" s="518">
        <v>50</v>
      </c>
      <c r="G2882" s="274"/>
      <c r="H2882" s="275"/>
    </row>
    <row r="2883" spans="2:8" ht="14.25">
      <c r="B2883" s="129" t="s">
        <v>3853</v>
      </c>
      <c r="C2883" s="368"/>
      <c r="D2883" s="520" t="s">
        <v>3656</v>
      </c>
      <c r="E2883" s="521" t="s">
        <v>99</v>
      </c>
      <c r="F2883" s="518">
        <v>5</v>
      </c>
      <c r="G2883" s="274"/>
      <c r="H2883" s="275"/>
    </row>
    <row r="2884" spans="2:8" ht="14.25">
      <c r="B2884" s="129" t="s">
        <v>3854</v>
      </c>
      <c r="C2884" s="368"/>
      <c r="D2884" s="520" t="s">
        <v>3658</v>
      </c>
      <c r="E2884" s="521" t="s">
        <v>209</v>
      </c>
      <c r="F2884" s="518">
        <v>400</v>
      </c>
      <c r="G2884" s="274"/>
      <c r="H2884" s="275"/>
    </row>
    <row r="2885" spans="2:8" ht="14.25">
      <c r="B2885" s="129" t="s">
        <v>3855</v>
      </c>
      <c r="C2885" s="368"/>
      <c r="D2885" s="520" t="s">
        <v>3660</v>
      </c>
      <c r="E2885" s="521" t="s">
        <v>309</v>
      </c>
      <c r="F2885" s="518">
        <v>1</v>
      </c>
      <c r="G2885" s="274"/>
      <c r="H2885" s="275"/>
    </row>
    <row r="2886" spans="2:8" ht="14.25">
      <c r="B2886" s="129" t="s">
        <v>3856</v>
      </c>
      <c r="C2886" s="368"/>
      <c r="D2886" s="524" t="s">
        <v>3662</v>
      </c>
      <c r="E2886" s="521"/>
      <c r="F2886" s="518"/>
      <c r="G2886" s="274"/>
      <c r="H2886" s="275"/>
    </row>
    <row r="2887" spans="2:8" ht="14.25">
      <c r="B2887" s="129" t="s">
        <v>3857</v>
      </c>
      <c r="C2887" s="368"/>
      <c r="D2887" s="520" t="s">
        <v>3717</v>
      </c>
      <c r="E2887" s="521" t="s">
        <v>209</v>
      </c>
      <c r="F2887" s="518">
        <v>20</v>
      </c>
      <c r="G2887" s="274"/>
      <c r="H2887" s="275"/>
    </row>
    <row r="2888" spans="2:8" ht="14.25">
      <c r="B2888" s="129" t="s">
        <v>3858</v>
      </c>
      <c r="C2888" s="368"/>
      <c r="D2888" s="520" t="s">
        <v>3664</v>
      </c>
      <c r="E2888" s="521" t="s">
        <v>209</v>
      </c>
      <c r="F2888" s="518">
        <v>90</v>
      </c>
      <c r="G2888" s="274"/>
      <c r="H2888" s="275"/>
    </row>
    <row r="2889" spans="2:8" ht="14.25">
      <c r="B2889" s="129" t="s">
        <v>3859</v>
      </c>
      <c r="C2889" s="368"/>
      <c r="D2889" s="520" t="s">
        <v>3666</v>
      </c>
      <c r="E2889" s="521" t="s">
        <v>309</v>
      </c>
      <c r="F2889" s="518">
        <v>1</v>
      </c>
      <c r="G2889" s="274"/>
      <c r="H2889" s="275"/>
    </row>
    <row r="2890" spans="2:8" ht="43.5">
      <c r="B2890" s="186" t="s">
        <v>3860</v>
      </c>
      <c r="C2890" s="312"/>
      <c r="D2890" s="313" t="s">
        <v>3861</v>
      </c>
      <c r="E2890" s="314"/>
      <c r="F2890" s="283"/>
      <c r="G2890" s="233"/>
      <c r="H2890" s="234"/>
    </row>
    <row r="2891" spans="2:8" ht="14.25">
      <c r="B2891" s="129" t="s">
        <v>3862</v>
      </c>
      <c r="C2891" s="368"/>
      <c r="D2891" s="395" t="s">
        <v>3592</v>
      </c>
      <c r="E2891" s="189"/>
      <c r="F2891" s="384"/>
      <c r="G2891" s="274"/>
      <c r="H2891" s="275"/>
    </row>
    <row r="2892" spans="2:8" ht="14.25">
      <c r="B2892" s="129" t="s">
        <v>3863</v>
      </c>
      <c r="C2892" s="368"/>
      <c r="D2892" s="520" t="s">
        <v>3594</v>
      </c>
      <c r="E2892" s="521" t="s">
        <v>209</v>
      </c>
      <c r="F2892" s="525">
        <v>740</v>
      </c>
      <c r="G2892" s="274"/>
      <c r="H2892" s="275"/>
    </row>
    <row r="2893" spans="2:8" ht="14.25">
      <c r="B2893" s="129" t="s">
        <v>3864</v>
      </c>
      <c r="C2893" s="368"/>
      <c r="D2893" s="520" t="s">
        <v>3596</v>
      </c>
      <c r="E2893" s="521" t="s">
        <v>209</v>
      </c>
      <c r="F2893" s="525">
        <v>2150</v>
      </c>
      <c r="G2893" s="274"/>
      <c r="H2893" s="275"/>
    </row>
    <row r="2894" spans="2:8" ht="14.25">
      <c r="B2894" s="129" t="s">
        <v>3865</v>
      </c>
      <c r="C2894" s="368"/>
      <c r="D2894" s="520" t="s">
        <v>3598</v>
      </c>
      <c r="E2894" s="521" t="s">
        <v>99</v>
      </c>
      <c r="F2894" s="518">
        <v>20</v>
      </c>
      <c r="G2894" s="274"/>
      <c r="H2894" s="275"/>
    </row>
    <row r="2895" spans="2:8" ht="14.25">
      <c r="B2895" s="129" t="s">
        <v>3866</v>
      </c>
      <c r="C2895" s="368"/>
      <c r="D2895" s="520" t="s">
        <v>3600</v>
      </c>
      <c r="E2895" s="521" t="s">
        <v>99</v>
      </c>
      <c r="F2895" s="518">
        <v>330</v>
      </c>
      <c r="G2895" s="274"/>
      <c r="H2895" s="275"/>
    </row>
    <row r="2896" spans="2:8" ht="14.25">
      <c r="B2896" s="129" t="s">
        <v>3867</v>
      </c>
      <c r="C2896" s="368"/>
      <c r="D2896" s="520" t="s">
        <v>3602</v>
      </c>
      <c r="E2896" s="521" t="s">
        <v>99</v>
      </c>
      <c r="F2896" s="518">
        <v>15</v>
      </c>
      <c r="G2896" s="274"/>
      <c r="H2896" s="275"/>
    </row>
    <row r="2897" spans="2:8" ht="14.25">
      <c r="B2897" s="129" t="s">
        <v>3868</v>
      </c>
      <c r="C2897" s="368"/>
      <c r="D2897" s="520" t="s">
        <v>3604</v>
      </c>
      <c r="E2897" s="521" t="s">
        <v>209</v>
      </c>
      <c r="F2897" s="525">
        <v>1075</v>
      </c>
      <c r="G2897" s="274"/>
      <c r="H2897" s="275"/>
    </row>
    <row r="2898" spans="2:8" ht="14.25">
      <c r="B2898" s="129" t="s">
        <v>3869</v>
      </c>
      <c r="C2898" s="368"/>
      <c r="D2898" s="520" t="s">
        <v>3606</v>
      </c>
      <c r="E2898" s="521" t="s">
        <v>309</v>
      </c>
      <c r="F2898" s="518">
        <v>1</v>
      </c>
      <c r="G2898" s="274"/>
      <c r="H2898" s="275"/>
    </row>
    <row r="2899" spans="2:8" ht="14.25">
      <c r="B2899" s="129" t="s">
        <v>3870</v>
      </c>
      <c r="C2899" s="368"/>
      <c r="D2899" s="520" t="s">
        <v>3608</v>
      </c>
      <c r="E2899" s="521" t="s">
        <v>99</v>
      </c>
      <c r="F2899" s="518">
        <v>32</v>
      </c>
      <c r="G2899" s="274"/>
      <c r="H2899" s="275"/>
    </row>
    <row r="2900" spans="2:8" ht="14.25">
      <c r="B2900" s="129" t="s">
        <v>3871</v>
      </c>
      <c r="C2900" s="368"/>
      <c r="D2900" s="520" t="s">
        <v>3610</v>
      </c>
      <c r="E2900" s="521" t="s">
        <v>99</v>
      </c>
      <c r="F2900" s="518">
        <v>9</v>
      </c>
      <c r="G2900" s="274"/>
      <c r="H2900" s="275"/>
    </row>
    <row r="2901" spans="2:8" ht="14.25">
      <c r="B2901" s="129" t="s">
        <v>3872</v>
      </c>
      <c r="C2901" s="368"/>
      <c r="D2901" s="520" t="s">
        <v>3680</v>
      </c>
      <c r="E2901" s="521" t="s">
        <v>99</v>
      </c>
      <c r="F2901" s="518">
        <v>186</v>
      </c>
      <c r="G2901" s="274"/>
      <c r="H2901" s="275"/>
    </row>
    <row r="2902" spans="2:8" ht="14.25">
      <c r="B2902" s="129" t="s">
        <v>3873</v>
      </c>
      <c r="C2902" s="368"/>
      <c r="D2902" s="520" t="s">
        <v>3612</v>
      </c>
      <c r="E2902" s="521" t="s">
        <v>99</v>
      </c>
      <c r="F2902" s="518">
        <v>4</v>
      </c>
      <c r="G2902" s="274"/>
      <c r="H2902" s="275"/>
    </row>
    <row r="2903" spans="2:8" ht="14.25">
      <c r="B2903" s="129" t="s">
        <v>3874</v>
      </c>
      <c r="C2903" s="368"/>
      <c r="D2903" s="520" t="s">
        <v>3614</v>
      </c>
      <c r="E2903" s="521" t="s">
        <v>99</v>
      </c>
      <c r="F2903" s="518">
        <v>105</v>
      </c>
      <c r="G2903" s="274"/>
      <c r="H2903" s="275"/>
    </row>
    <row r="2904" spans="2:8" ht="14.25">
      <c r="B2904" s="129" t="s">
        <v>3875</v>
      </c>
      <c r="C2904" s="368"/>
      <c r="D2904" s="520" t="s">
        <v>3616</v>
      </c>
      <c r="E2904" s="521" t="s">
        <v>99</v>
      </c>
      <c r="F2904" s="518">
        <v>36</v>
      </c>
      <c r="G2904" s="274"/>
      <c r="H2904" s="275"/>
    </row>
    <row r="2905" spans="2:8" ht="14.25">
      <c r="B2905" s="129"/>
      <c r="C2905" s="368"/>
      <c r="D2905" s="520" t="s">
        <v>3685</v>
      </c>
      <c r="E2905" s="521" t="s">
        <v>99</v>
      </c>
      <c r="F2905" s="518">
        <v>17</v>
      </c>
      <c r="G2905" s="274"/>
      <c r="H2905" s="275"/>
    </row>
    <row r="2906" spans="2:8" ht="14.25">
      <c r="B2906" s="129" t="s">
        <v>3876</v>
      </c>
      <c r="C2906" s="368"/>
      <c r="D2906" s="524" t="s">
        <v>3620</v>
      </c>
      <c r="E2906" s="521"/>
      <c r="F2906" s="518"/>
      <c r="G2906" s="274"/>
      <c r="H2906" s="275"/>
    </row>
    <row r="2907" spans="2:8" ht="14.25">
      <c r="B2907" s="129" t="s">
        <v>3877</v>
      </c>
      <c r="C2907" s="368"/>
      <c r="D2907" s="520" t="s">
        <v>3622</v>
      </c>
      <c r="E2907" s="521" t="s">
        <v>209</v>
      </c>
      <c r="F2907" s="518">
        <v>820</v>
      </c>
      <c r="G2907" s="274"/>
      <c r="H2907" s="275"/>
    </row>
    <row r="2908" spans="2:8" ht="14.25">
      <c r="B2908" s="129" t="s">
        <v>3878</v>
      </c>
      <c r="C2908" s="368"/>
      <c r="D2908" s="520" t="s">
        <v>3624</v>
      </c>
      <c r="E2908" s="521" t="s">
        <v>209</v>
      </c>
      <c r="F2908" s="518">
        <v>2300</v>
      </c>
      <c r="G2908" s="274"/>
      <c r="H2908" s="275"/>
    </row>
    <row r="2909" spans="2:8" ht="14.25">
      <c r="B2909" s="129" t="s">
        <v>3879</v>
      </c>
      <c r="C2909" s="368"/>
      <c r="D2909" s="520" t="s">
        <v>3626</v>
      </c>
      <c r="E2909" s="521" t="s">
        <v>209</v>
      </c>
      <c r="F2909" s="518">
        <v>1100</v>
      </c>
      <c r="G2909" s="274"/>
      <c r="H2909" s="275"/>
    </row>
    <row r="2910" spans="2:8" ht="14.25">
      <c r="B2910" s="129" t="s">
        <v>3880</v>
      </c>
      <c r="C2910" s="368"/>
      <c r="D2910" s="520" t="s">
        <v>3598</v>
      </c>
      <c r="E2910" s="521" t="s">
        <v>99</v>
      </c>
      <c r="F2910" s="518">
        <v>20</v>
      </c>
      <c r="G2910" s="274"/>
      <c r="H2910" s="275"/>
    </row>
    <row r="2911" spans="2:8" ht="14.25">
      <c r="B2911" s="129" t="s">
        <v>3881</v>
      </c>
      <c r="C2911" s="368"/>
      <c r="D2911" s="520" t="s">
        <v>3600</v>
      </c>
      <c r="E2911" s="521" t="s">
        <v>99</v>
      </c>
      <c r="F2911" s="518">
        <v>195</v>
      </c>
      <c r="G2911" s="274"/>
      <c r="H2911" s="275"/>
    </row>
    <row r="2912" spans="2:8" ht="14.25">
      <c r="B2912" s="129" t="s">
        <v>3882</v>
      </c>
      <c r="C2912" s="368"/>
      <c r="D2912" s="520" t="s">
        <v>3602</v>
      </c>
      <c r="E2912" s="521" t="s">
        <v>99</v>
      </c>
      <c r="F2912" s="518">
        <v>20</v>
      </c>
      <c r="G2912" s="274"/>
      <c r="H2912" s="275"/>
    </row>
    <row r="2913" spans="2:8" ht="14.25">
      <c r="B2913" s="129" t="s">
        <v>3883</v>
      </c>
      <c r="C2913" s="368"/>
      <c r="D2913" s="520" t="s">
        <v>3604</v>
      </c>
      <c r="E2913" s="521" t="s">
        <v>209</v>
      </c>
      <c r="F2913" s="518">
        <v>1150</v>
      </c>
      <c r="G2913" s="274"/>
      <c r="H2913" s="275"/>
    </row>
    <row r="2914" spans="2:8" ht="14.25">
      <c r="B2914" s="129" t="s">
        <v>3884</v>
      </c>
      <c r="C2914" s="368"/>
      <c r="D2914" s="520" t="s">
        <v>3606</v>
      </c>
      <c r="E2914" s="521" t="s">
        <v>309</v>
      </c>
      <c r="F2914" s="518">
        <v>1</v>
      </c>
      <c r="G2914" s="274"/>
      <c r="H2914" s="275"/>
    </row>
    <row r="2915" spans="2:8" ht="14.25">
      <c r="B2915" s="129" t="s">
        <v>3885</v>
      </c>
      <c r="C2915" s="368"/>
      <c r="D2915" s="520" t="s">
        <v>3633</v>
      </c>
      <c r="E2915" s="521" t="s">
        <v>99</v>
      </c>
      <c r="F2915" s="518">
        <v>84</v>
      </c>
      <c r="G2915" s="274"/>
      <c r="H2915" s="275"/>
    </row>
    <row r="2916" spans="2:8" ht="14.25">
      <c r="B2916" s="129" t="s">
        <v>3886</v>
      </c>
      <c r="C2916" s="368"/>
      <c r="D2916" s="520" t="s">
        <v>3635</v>
      </c>
      <c r="E2916" s="521" t="s">
        <v>99</v>
      </c>
      <c r="F2916" s="518">
        <v>110</v>
      </c>
      <c r="G2916" s="274"/>
      <c r="H2916" s="275"/>
    </row>
    <row r="2917" spans="2:8" ht="14.25">
      <c r="B2917" s="129" t="s">
        <v>3887</v>
      </c>
      <c r="C2917" s="368"/>
      <c r="D2917" s="520" t="s">
        <v>3637</v>
      </c>
      <c r="E2917" s="521"/>
      <c r="F2917" s="518">
        <v>1</v>
      </c>
      <c r="G2917" s="274"/>
      <c r="H2917" s="275"/>
    </row>
    <row r="2918" spans="2:8" ht="14.25">
      <c r="B2918" s="129" t="s">
        <v>3888</v>
      </c>
      <c r="C2918" s="368"/>
      <c r="D2918" s="524" t="s">
        <v>3639</v>
      </c>
      <c r="E2918" s="521"/>
      <c r="F2918" s="518"/>
      <c r="G2918" s="274"/>
      <c r="H2918" s="275"/>
    </row>
    <row r="2919" spans="2:8" ht="14.25">
      <c r="B2919" s="129" t="s">
        <v>3889</v>
      </c>
      <c r="C2919" s="368"/>
      <c r="D2919" s="520" t="s">
        <v>3641</v>
      </c>
      <c r="E2919" s="521" t="s">
        <v>209</v>
      </c>
      <c r="F2919" s="386">
        <v>1200</v>
      </c>
      <c r="G2919" s="274"/>
      <c r="H2919" s="275"/>
    </row>
    <row r="2920" spans="2:8" ht="14.25">
      <c r="B2920" s="129" t="s">
        <v>3890</v>
      </c>
      <c r="C2920" s="368"/>
      <c r="D2920" s="520" t="s">
        <v>3643</v>
      </c>
      <c r="E2920" s="521" t="s">
        <v>209</v>
      </c>
      <c r="F2920" s="386">
        <v>250</v>
      </c>
      <c r="G2920" s="274"/>
      <c r="H2920" s="275"/>
    </row>
    <row r="2921" spans="2:8" ht="14.25">
      <c r="B2921" s="129" t="s">
        <v>3891</v>
      </c>
      <c r="C2921" s="368"/>
      <c r="D2921" s="520" t="s">
        <v>3645</v>
      </c>
      <c r="E2921" s="521" t="s">
        <v>209</v>
      </c>
      <c r="F2921" s="386">
        <v>130</v>
      </c>
      <c r="G2921" s="274"/>
      <c r="H2921" s="275"/>
    </row>
    <row r="2922" spans="2:8" ht="14.25">
      <c r="B2922" s="129" t="s">
        <v>3892</v>
      </c>
      <c r="C2922" s="368"/>
      <c r="D2922" s="520" t="s">
        <v>3626</v>
      </c>
      <c r="E2922" s="521" t="s">
        <v>209</v>
      </c>
      <c r="F2922" s="386">
        <v>1200</v>
      </c>
      <c r="G2922" s="274"/>
      <c r="H2922" s="275"/>
    </row>
    <row r="2923" spans="2:8" ht="14.25">
      <c r="B2923" s="129" t="s">
        <v>3893</v>
      </c>
      <c r="C2923" s="368"/>
      <c r="D2923" s="520" t="s">
        <v>3751</v>
      </c>
      <c r="E2923" s="521" t="s">
        <v>99</v>
      </c>
      <c r="F2923" s="386">
        <v>250</v>
      </c>
      <c r="G2923" s="274"/>
      <c r="H2923" s="275"/>
    </row>
    <row r="2924" spans="2:8" ht="14.25">
      <c r="B2924" s="129" t="s">
        <v>3894</v>
      </c>
      <c r="C2924" s="368"/>
      <c r="D2924" s="520" t="s">
        <v>3796</v>
      </c>
      <c r="E2924" s="521" t="s">
        <v>209</v>
      </c>
      <c r="F2924" s="386">
        <v>130</v>
      </c>
      <c r="G2924" s="274"/>
      <c r="H2924" s="275"/>
    </row>
    <row r="2925" spans="2:8" ht="14.25">
      <c r="B2925" s="129" t="s">
        <v>3895</v>
      </c>
      <c r="C2925" s="368"/>
      <c r="D2925" s="520" t="s">
        <v>3600</v>
      </c>
      <c r="E2925" s="521" t="s">
        <v>309</v>
      </c>
      <c r="F2925" s="518">
        <v>40</v>
      </c>
      <c r="G2925" s="274"/>
      <c r="H2925" s="275"/>
    </row>
    <row r="2926" spans="2:8" ht="14.25">
      <c r="B2926" s="129" t="s">
        <v>3896</v>
      </c>
      <c r="C2926" s="368"/>
      <c r="D2926" s="520" t="s">
        <v>3604</v>
      </c>
      <c r="E2926" s="521" t="s">
        <v>99</v>
      </c>
      <c r="F2926" s="518">
        <v>600</v>
      </c>
      <c r="G2926" s="274"/>
      <c r="H2926" s="275"/>
    </row>
    <row r="2927" spans="2:8" ht="14.25">
      <c r="B2927" s="129" t="s">
        <v>3897</v>
      </c>
      <c r="C2927" s="368"/>
      <c r="D2927" s="520" t="s">
        <v>3783</v>
      </c>
      <c r="E2927" s="521" t="s">
        <v>209</v>
      </c>
      <c r="F2927" s="518">
        <v>150</v>
      </c>
      <c r="G2927" s="274"/>
      <c r="H2927" s="275"/>
    </row>
    <row r="2928" spans="2:8" ht="25.5">
      <c r="B2928" s="129" t="s">
        <v>3898</v>
      </c>
      <c r="C2928" s="368"/>
      <c r="D2928" s="520" t="s">
        <v>3650</v>
      </c>
      <c r="E2928" s="521" t="s">
        <v>309</v>
      </c>
      <c r="F2928" s="518">
        <v>1</v>
      </c>
      <c r="G2928" s="274"/>
      <c r="H2928" s="275"/>
    </row>
    <row r="2929" spans="2:8" ht="14.25">
      <c r="B2929" s="129" t="s">
        <v>3899</v>
      </c>
      <c r="C2929" s="368"/>
      <c r="D2929" s="524" t="s">
        <v>3652</v>
      </c>
      <c r="E2929" s="521"/>
      <c r="F2929" s="518"/>
      <c r="G2929" s="274"/>
      <c r="H2929" s="275"/>
    </row>
    <row r="2930" spans="2:8" ht="14.25">
      <c r="B2930" s="129" t="s">
        <v>3900</v>
      </c>
      <c r="C2930" s="368"/>
      <c r="D2930" s="520" t="s">
        <v>3654</v>
      </c>
      <c r="E2930" s="521" t="s">
        <v>99</v>
      </c>
      <c r="F2930" s="518">
        <v>50</v>
      </c>
      <c r="G2930" s="274"/>
      <c r="H2930" s="275"/>
    </row>
    <row r="2931" spans="2:8" ht="14.25">
      <c r="B2931" s="129" t="s">
        <v>3901</v>
      </c>
      <c r="C2931" s="368"/>
      <c r="D2931" s="520" t="s">
        <v>3656</v>
      </c>
      <c r="E2931" s="521" t="s">
        <v>99</v>
      </c>
      <c r="F2931" s="518">
        <v>5</v>
      </c>
      <c r="G2931" s="274"/>
      <c r="H2931" s="275"/>
    </row>
    <row r="2932" spans="2:8" ht="14.25">
      <c r="B2932" s="129" t="s">
        <v>3902</v>
      </c>
      <c r="C2932" s="368"/>
      <c r="D2932" s="520" t="s">
        <v>3658</v>
      </c>
      <c r="E2932" s="521" t="s">
        <v>209</v>
      </c>
      <c r="F2932" s="518">
        <v>400</v>
      </c>
      <c r="G2932" s="274"/>
      <c r="H2932" s="275"/>
    </row>
    <row r="2933" spans="2:8" ht="14.25">
      <c r="B2933" s="129" t="s">
        <v>3903</v>
      </c>
      <c r="C2933" s="368"/>
      <c r="D2933" s="520" t="s">
        <v>3660</v>
      </c>
      <c r="E2933" s="521" t="s">
        <v>309</v>
      </c>
      <c r="F2933" s="518">
        <v>1</v>
      </c>
      <c r="G2933" s="274"/>
      <c r="H2933" s="275"/>
    </row>
    <row r="2934" spans="2:8" ht="14.25">
      <c r="B2934" s="129" t="s">
        <v>3904</v>
      </c>
      <c r="C2934" s="368"/>
      <c r="D2934" s="524" t="s">
        <v>3662</v>
      </c>
      <c r="E2934" s="521"/>
      <c r="F2934" s="518"/>
      <c r="G2934" s="274"/>
      <c r="H2934" s="275"/>
    </row>
    <row r="2935" spans="2:8" ht="14.25">
      <c r="B2935" s="129" t="s">
        <v>3905</v>
      </c>
      <c r="C2935" s="368"/>
      <c r="D2935" s="520" t="s">
        <v>3717</v>
      </c>
      <c r="E2935" s="521" t="s">
        <v>209</v>
      </c>
      <c r="F2935" s="518">
        <v>20</v>
      </c>
      <c r="G2935" s="274"/>
      <c r="H2935" s="275"/>
    </row>
    <row r="2936" spans="2:8" ht="14.25">
      <c r="B2936" s="129" t="s">
        <v>3906</v>
      </c>
      <c r="C2936" s="368"/>
      <c r="D2936" s="520" t="s">
        <v>3718</v>
      </c>
      <c r="E2936" s="521" t="s">
        <v>209</v>
      </c>
      <c r="F2936" s="518">
        <v>90</v>
      </c>
      <c r="G2936" s="274"/>
      <c r="H2936" s="275"/>
    </row>
    <row r="2937" spans="2:8" ht="14.25">
      <c r="B2937" s="129" t="s">
        <v>3907</v>
      </c>
      <c r="C2937" s="368"/>
      <c r="D2937" s="520" t="s">
        <v>3666</v>
      </c>
      <c r="E2937" s="521" t="s">
        <v>309</v>
      </c>
      <c r="F2937" s="518">
        <v>1</v>
      </c>
      <c r="G2937" s="274"/>
      <c r="H2937" s="275"/>
    </row>
    <row r="2938" spans="2:8" ht="43.5">
      <c r="B2938" s="186" t="s">
        <v>3908</v>
      </c>
      <c r="C2938" s="312"/>
      <c r="D2938" s="313" t="s">
        <v>3909</v>
      </c>
      <c r="E2938" s="314"/>
      <c r="F2938" s="283"/>
      <c r="G2938" s="233"/>
      <c r="H2938" s="234"/>
    </row>
    <row r="2939" spans="2:8" ht="14.25">
      <c r="B2939" s="129" t="s">
        <v>3910</v>
      </c>
      <c r="C2939" s="368"/>
      <c r="D2939" s="395" t="s">
        <v>3592</v>
      </c>
      <c r="E2939" s="189"/>
      <c r="F2939" s="384"/>
      <c r="G2939" s="274"/>
      <c r="H2939" s="275"/>
    </row>
    <row r="2940" spans="2:8" ht="14.25">
      <c r="B2940" s="129" t="s">
        <v>3911</v>
      </c>
      <c r="C2940" s="368"/>
      <c r="D2940" s="520" t="s">
        <v>3594</v>
      </c>
      <c r="E2940" s="521" t="s">
        <v>209</v>
      </c>
      <c r="F2940" s="525">
        <v>730</v>
      </c>
      <c r="G2940" s="274"/>
      <c r="H2940" s="275"/>
    </row>
    <row r="2941" spans="2:8" ht="14.25">
      <c r="B2941" s="129" t="s">
        <v>3912</v>
      </c>
      <c r="C2941" s="368"/>
      <c r="D2941" s="520" t="s">
        <v>3596</v>
      </c>
      <c r="E2941" s="521" t="s">
        <v>209</v>
      </c>
      <c r="F2941" s="525">
        <v>1950</v>
      </c>
      <c r="G2941" s="274"/>
      <c r="H2941" s="275"/>
    </row>
    <row r="2942" spans="2:8" ht="14.25">
      <c r="B2942" s="129" t="s">
        <v>3913</v>
      </c>
      <c r="C2942" s="368"/>
      <c r="D2942" s="520" t="s">
        <v>3598</v>
      </c>
      <c r="E2942" s="521" t="s">
        <v>99</v>
      </c>
      <c r="F2942" s="518">
        <v>20</v>
      </c>
      <c r="G2942" s="274"/>
      <c r="H2942" s="275"/>
    </row>
    <row r="2943" spans="2:8" ht="14.25">
      <c r="B2943" s="129" t="s">
        <v>3914</v>
      </c>
      <c r="C2943" s="368"/>
      <c r="D2943" s="520" t="s">
        <v>3600</v>
      </c>
      <c r="E2943" s="521" t="s">
        <v>99</v>
      </c>
      <c r="F2943" s="518">
        <v>312</v>
      </c>
      <c r="G2943" s="274"/>
      <c r="H2943" s="275"/>
    </row>
    <row r="2944" spans="2:8" ht="14.25">
      <c r="B2944" s="129" t="s">
        <v>3915</v>
      </c>
      <c r="C2944" s="368"/>
      <c r="D2944" s="520" t="s">
        <v>3602</v>
      </c>
      <c r="E2944" s="521" t="s">
        <v>99</v>
      </c>
      <c r="F2944" s="518">
        <v>32</v>
      </c>
      <c r="G2944" s="274"/>
      <c r="H2944" s="275"/>
    </row>
    <row r="2945" spans="2:8" ht="14.25">
      <c r="B2945" s="129" t="s">
        <v>3916</v>
      </c>
      <c r="C2945" s="368"/>
      <c r="D2945" s="520" t="s">
        <v>3604</v>
      </c>
      <c r="E2945" s="521" t="s">
        <v>209</v>
      </c>
      <c r="F2945" s="525">
        <v>975</v>
      </c>
      <c r="G2945" s="274"/>
      <c r="H2945" s="275"/>
    </row>
    <row r="2946" spans="2:8" ht="14.25">
      <c r="B2946" s="129" t="s">
        <v>3917</v>
      </c>
      <c r="C2946" s="368"/>
      <c r="D2946" s="520" t="s">
        <v>3606</v>
      </c>
      <c r="E2946" s="521" t="s">
        <v>309</v>
      </c>
      <c r="F2946" s="518">
        <v>1</v>
      </c>
      <c r="G2946" s="274"/>
      <c r="H2946" s="275"/>
    </row>
    <row r="2947" spans="2:8" ht="14.25">
      <c r="B2947" s="129" t="s">
        <v>3918</v>
      </c>
      <c r="C2947" s="368"/>
      <c r="D2947" s="520" t="s">
        <v>3608</v>
      </c>
      <c r="E2947" s="521" t="s">
        <v>99</v>
      </c>
      <c r="F2947" s="518">
        <v>32</v>
      </c>
      <c r="G2947" s="274"/>
      <c r="H2947" s="275"/>
    </row>
    <row r="2948" spans="2:8" ht="14.25">
      <c r="B2948" s="129" t="s">
        <v>3919</v>
      </c>
      <c r="C2948" s="368"/>
      <c r="D2948" s="520" t="s">
        <v>3610</v>
      </c>
      <c r="E2948" s="521" t="s">
        <v>99</v>
      </c>
      <c r="F2948" s="518">
        <v>9</v>
      </c>
      <c r="G2948" s="274"/>
      <c r="H2948" s="275"/>
    </row>
    <row r="2949" spans="2:8" ht="14.25">
      <c r="B2949" s="129" t="s">
        <v>3920</v>
      </c>
      <c r="C2949" s="368"/>
      <c r="D2949" s="520" t="s">
        <v>3680</v>
      </c>
      <c r="E2949" s="521" t="s">
        <v>99</v>
      </c>
      <c r="F2949" s="518">
        <v>168</v>
      </c>
      <c r="G2949" s="274"/>
      <c r="H2949" s="275"/>
    </row>
    <row r="2950" spans="2:8" ht="14.25">
      <c r="B2950" s="129" t="s">
        <v>3921</v>
      </c>
      <c r="C2950" s="368"/>
      <c r="D2950" s="520" t="s">
        <v>3612</v>
      </c>
      <c r="E2950" s="521" t="s">
        <v>99</v>
      </c>
      <c r="F2950" s="518">
        <v>4</v>
      </c>
      <c r="G2950" s="274"/>
      <c r="H2950" s="275"/>
    </row>
    <row r="2951" spans="2:8" ht="14.25">
      <c r="B2951" s="129" t="s">
        <v>3922</v>
      </c>
      <c r="C2951" s="368"/>
      <c r="D2951" s="520" t="s">
        <v>3614</v>
      </c>
      <c r="E2951" s="521" t="s">
        <v>99</v>
      </c>
      <c r="F2951" s="518">
        <v>111</v>
      </c>
      <c r="G2951" s="274"/>
      <c r="H2951" s="275"/>
    </row>
    <row r="2952" spans="2:8" ht="14.25">
      <c r="B2952" s="129" t="s">
        <v>3923</v>
      </c>
      <c r="C2952" s="368"/>
      <c r="D2952" s="520" t="s">
        <v>3616</v>
      </c>
      <c r="E2952" s="521" t="s">
        <v>99</v>
      </c>
      <c r="F2952" s="518">
        <v>30</v>
      </c>
      <c r="G2952" s="274"/>
      <c r="H2952" s="275"/>
    </row>
    <row r="2953" spans="2:8" ht="14.25">
      <c r="B2953" s="129"/>
      <c r="C2953" s="368"/>
      <c r="D2953" s="520" t="s">
        <v>3685</v>
      </c>
      <c r="E2953" s="521" t="s">
        <v>99</v>
      </c>
      <c r="F2953" s="518">
        <v>17</v>
      </c>
      <c r="G2953" s="274"/>
      <c r="H2953" s="275"/>
    </row>
    <row r="2954" spans="2:8" ht="14.25">
      <c r="B2954" s="129" t="s">
        <v>3924</v>
      </c>
      <c r="C2954" s="368"/>
      <c r="D2954" s="524" t="s">
        <v>3620</v>
      </c>
      <c r="E2954" s="521"/>
      <c r="F2954" s="518"/>
      <c r="G2954" s="274"/>
      <c r="H2954" s="275"/>
    </row>
    <row r="2955" spans="2:8" ht="14.25">
      <c r="B2955" s="129" t="s">
        <v>3925</v>
      </c>
      <c r="C2955" s="368"/>
      <c r="D2955" s="520" t="s">
        <v>3622</v>
      </c>
      <c r="E2955" s="521" t="s">
        <v>209</v>
      </c>
      <c r="F2955" s="518">
        <v>900</v>
      </c>
      <c r="G2955" s="274"/>
      <c r="H2955" s="275"/>
    </row>
    <row r="2956" spans="2:8" ht="14.25">
      <c r="B2956" s="129" t="s">
        <v>3926</v>
      </c>
      <c r="C2956" s="368"/>
      <c r="D2956" s="520" t="s">
        <v>3624</v>
      </c>
      <c r="E2956" s="521" t="s">
        <v>209</v>
      </c>
      <c r="F2956" s="518">
        <v>2100</v>
      </c>
      <c r="G2956" s="274"/>
      <c r="H2956" s="275"/>
    </row>
    <row r="2957" spans="2:8" ht="14.25">
      <c r="B2957" s="129" t="s">
        <v>3927</v>
      </c>
      <c r="C2957" s="368"/>
      <c r="D2957" s="520" t="s">
        <v>3626</v>
      </c>
      <c r="E2957" s="521" t="s">
        <v>209</v>
      </c>
      <c r="F2957" s="518">
        <v>950</v>
      </c>
      <c r="G2957" s="274"/>
      <c r="H2957" s="275"/>
    </row>
    <row r="2958" spans="2:8" ht="14.25">
      <c r="B2958" s="129" t="s">
        <v>3928</v>
      </c>
      <c r="C2958" s="368"/>
      <c r="D2958" s="520" t="s">
        <v>3598</v>
      </c>
      <c r="E2958" s="521" t="s">
        <v>99</v>
      </c>
      <c r="F2958" s="518">
        <v>20</v>
      </c>
      <c r="G2958" s="274"/>
      <c r="H2958" s="275"/>
    </row>
    <row r="2959" spans="2:8" ht="14.25">
      <c r="B2959" s="129" t="s">
        <v>3929</v>
      </c>
      <c r="C2959" s="368"/>
      <c r="D2959" s="520" t="s">
        <v>3600</v>
      </c>
      <c r="E2959" s="521" t="s">
        <v>99</v>
      </c>
      <c r="F2959" s="518">
        <v>186</v>
      </c>
      <c r="G2959" s="274"/>
      <c r="H2959" s="275"/>
    </row>
    <row r="2960" spans="2:8" ht="14.25">
      <c r="B2960" s="129" t="s">
        <v>3930</v>
      </c>
      <c r="C2960" s="368"/>
      <c r="D2960" s="520" t="s">
        <v>3602</v>
      </c>
      <c r="E2960" s="521" t="s">
        <v>99</v>
      </c>
      <c r="F2960" s="518">
        <v>30</v>
      </c>
      <c r="G2960" s="274"/>
      <c r="H2960" s="275"/>
    </row>
    <row r="2961" spans="2:8" ht="14.25">
      <c r="B2961" s="129" t="s">
        <v>3931</v>
      </c>
      <c r="C2961" s="368"/>
      <c r="D2961" s="520" t="s">
        <v>3604</v>
      </c>
      <c r="E2961" s="521" t="s">
        <v>209</v>
      </c>
      <c r="F2961" s="518">
        <v>1050</v>
      </c>
      <c r="G2961" s="274"/>
      <c r="H2961" s="275"/>
    </row>
    <row r="2962" spans="2:8" ht="14.25">
      <c r="B2962" s="129" t="s">
        <v>3932</v>
      </c>
      <c r="C2962" s="368"/>
      <c r="D2962" s="520" t="s">
        <v>3606</v>
      </c>
      <c r="E2962" s="521" t="s">
        <v>309</v>
      </c>
      <c r="F2962" s="518">
        <v>1</v>
      </c>
      <c r="G2962" s="274"/>
      <c r="H2962" s="275"/>
    </row>
    <row r="2963" spans="2:8" ht="14.25">
      <c r="B2963" s="129" t="s">
        <v>3933</v>
      </c>
      <c r="C2963" s="368"/>
      <c r="D2963" s="520" t="s">
        <v>3633</v>
      </c>
      <c r="E2963" s="521" t="s">
        <v>99</v>
      </c>
      <c r="F2963" s="518">
        <v>87</v>
      </c>
      <c r="G2963" s="274"/>
      <c r="H2963" s="275"/>
    </row>
    <row r="2964" spans="2:8" ht="14.25">
      <c r="B2964" s="129" t="s">
        <v>3934</v>
      </c>
      <c r="C2964" s="368"/>
      <c r="D2964" s="520" t="s">
        <v>3635</v>
      </c>
      <c r="E2964" s="521" t="s">
        <v>99</v>
      </c>
      <c r="F2964" s="518">
        <v>99</v>
      </c>
      <c r="G2964" s="274"/>
      <c r="H2964" s="275"/>
    </row>
    <row r="2965" spans="2:8" ht="14.25">
      <c r="B2965" s="129" t="s">
        <v>3935</v>
      </c>
      <c r="C2965" s="368"/>
      <c r="D2965" s="520" t="s">
        <v>3637</v>
      </c>
      <c r="E2965" s="521" t="s">
        <v>99</v>
      </c>
      <c r="F2965" s="518">
        <v>1</v>
      </c>
      <c r="G2965" s="274"/>
      <c r="H2965" s="275"/>
    </row>
    <row r="2966" spans="2:8" ht="14.25">
      <c r="B2966" s="129" t="s">
        <v>3936</v>
      </c>
      <c r="C2966" s="368"/>
      <c r="D2966" s="524" t="s">
        <v>3639</v>
      </c>
      <c r="E2966" s="521"/>
      <c r="F2966" s="518"/>
      <c r="G2966" s="274"/>
      <c r="H2966" s="275"/>
    </row>
    <row r="2967" spans="2:8" ht="14.25">
      <c r="B2967" s="129" t="s">
        <v>3937</v>
      </c>
      <c r="C2967" s="368"/>
      <c r="D2967" s="520" t="s">
        <v>3641</v>
      </c>
      <c r="E2967" s="521" t="s">
        <v>209</v>
      </c>
      <c r="F2967" s="518">
        <v>1200</v>
      </c>
      <c r="G2967" s="274"/>
      <c r="H2967" s="275"/>
    </row>
    <row r="2968" spans="2:8" ht="14.25">
      <c r="B2968" s="129" t="s">
        <v>3938</v>
      </c>
      <c r="C2968" s="368"/>
      <c r="D2968" s="520" t="s">
        <v>3643</v>
      </c>
      <c r="E2968" s="521" t="s">
        <v>209</v>
      </c>
      <c r="F2968" s="518">
        <v>250</v>
      </c>
      <c r="G2968" s="274"/>
      <c r="H2968" s="275"/>
    </row>
    <row r="2969" spans="2:8" ht="14.25">
      <c r="B2969" s="129" t="s">
        <v>3939</v>
      </c>
      <c r="C2969" s="368"/>
      <c r="D2969" s="520" t="s">
        <v>3645</v>
      </c>
      <c r="E2969" s="521" t="s">
        <v>209</v>
      </c>
      <c r="F2969" s="518">
        <v>130</v>
      </c>
      <c r="G2969" s="274"/>
      <c r="H2969" s="275"/>
    </row>
    <row r="2970" spans="2:8" ht="14.25">
      <c r="B2970" s="129" t="s">
        <v>3940</v>
      </c>
      <c r="C2970" s="368"/>
      <c r="D2970" s="520" t="s">
        <v>3626</v>
      </c>
      <c r="E2970" s="521" t="s">
        <v>209</v>
      </c>
      <c r="F2970" s="518">
        <v>1200</v>
      </c>
      <c r="G2970" s="274"/>
      <c r="H2970" s="275"/>
    </row>
    <row r="2971" spans="2:8" ht="14.25">
      <c r="B2971" s="129" t="s">
        <v>3941</v>
      </c>
      <c r="C2971" s="368"/>
      <c r="D2971" s="520" t="s">
        <v>3751</v>
      </c>
      <c r="E2971" s="521" t="s">
        <v>209</v>
      </c>
      <c r="F2971" s="518">
        <v>250</v>
      </c>
      <c r="G2971" s="274"/>
      <c r="H2971" s="275"/>
    </row>
    <row r="2972" spans="2:8" ht="14.25">
      <c r="B2972" s="129" t="s">
        <v>3942</v>
      </c>
      <c r="C2972" s="368"/>
      <c r="D2972" s="520" t="s">
        <v>3796</v>
      </c>
      <c r="E2972" s="521" t="s">
        <v>209</v>
      </c>
      <c r="F2972" s="518">
        <v>130</v>
      </c>
      <c r="G2972" s="274"/>
      <c r="H2972" s="275"/>
    </row>
    <row r="2973" spans="2:8" ht="14.25">
      <c r="B2973" s="129" t="s">
        <v>3943</v>
      </c>
      <c r="C2973" s="368"/>
      <c r="D2973" s="520" t="s">
        <v>3600</v>
      </c>
      <c r="E2973" s="521" t="s">
        <v>99</v>
      </c>
      <c r="F2973" s="518">
        <v>40</v>
      </c>
      <c r="G2973" s="274"/>
      <c r="H2973" s="275"/>
    </row>
    <row r="2974" spans="2:8" ht="14.25">
      <c r="B2974" s="129" t="s">
        <v>3944</v>
      </c>
      <c r="C2974" s="368"/>
      <c r="D2974" s="520" t="s">
        <v>3604</v>
      </c>
      <c r="E2974" s="521" t="s">
        <v>209</v>
      </c>
      <c r="F2974" s="518">
        <v>600</v>
      </c>
      <c r="G2974" s="274"/>
      <c r="H2974" s="275"/>
    </row>
    <row r="2975" spans="2:8" ht="14.25">
      <c r="B2975" s="129" t="s">
        <v>3945</v>
      </c>
      <c r="C2975" s="368"/>
      <c r="D2975" s="520" t="s">
        <v>3783</v>
      </c>
      <c r="E2975" s="521" t="s">
        <v>209</v>
      </c>
      <c r="F2975" s="518">
        <v>150</v>
      </c>
      <c r="G2975" s="274"/>
      <c r="H2975" s="275"/>
    </row>
    <row r="2976" spans="2:8" ht="25.5">
      <c r="B2976" s="129" t="s">
        <v>3946</v>
      </c>
      <c r="C2976" s="368"/>
      <c r="D2976" s="520" t="s">
        <v>3650</v>
      </c>
      <c r="E2976" s="521" t="s">
        <v>309</v>
      </c>
      <c r="F2976" s="518">
        <v>1</v>
      </c>
      <c r="G2976" s="274"/>
      <c r="H2976" s="275"/>
    </row>
    <row r="2977" spans="2:8" ht="14.25">
      <c r="B2977" s="129" t="s">
        <v>3947</v>
      </c>
      <c r="C2977" s="368"/>
      <c r="D2977" s="524" t="s">
        <v>3652</v>
      </c>
      <c r="E2977" s="521"/>
      <c r="F2977" s="518"/>
      <c r="G2977" s="274"/>
      <c r="H2977" s="275"/>
    </row>
    <row r="2978" spans="2:8" ht="14.25">
      <c r="B2978" s="129" t="s">
        <v>3948</v>
      </c>
      <c r="C2978" s="368"/>
      <c r="D2978" s="520" t="s">
        <v>3654</v>
      </c>
      <c r="E2978" s="521" t="s">
        <v>99</v>
      </c>
      <c r="F2978" s="518">
        <v>50</v>
      </c>
      <c r="G2978" s="274"/>
      <c r="H2978" s="275"/>
    </row>
    <row r="2979" spans="2:8" ht="14.25">
      <c r="B2979" s="129" t="s">
        <v>3949</v>
      </c>
      <c r="C2979" s="368"/>
      <c r="D2979" s="520" t="s">
        <v>3656</v>
      </c>
      <c r="E2979" s="521" t="s">
        <v>99</v>
      </c>
      <c r="F2979" s="518">
        <v>5</v>
      </c>
      <c r="G2979" s="274"/>
      <c r="H2979" s="275"/>
    </row>
    <row r="2980" spans="2:8" ht="14.25">
      <c r="B2980" s="129" t="s">
        <v>3950</v>
      </c>
      <c r="C2980" s="368"/>
      <c r="D2980" s="520" t="s">
        <v>3658</v>
      </c>
      <c r="E2980" s="521" t="s">
        <v>209</v>
      </c>
      <c r="F2980" s="518">
        <v>400</v>
      </c>
      <c r="G2980" s="274"/>
      <c r="H2980" s="275"/>
    </row>
    <row r="2981" spans="2:8" ht="14.25">
      <c r="B2981" s="129" t="s">
        <v>3951</v>
      </c>
      <c r="C2981" s="368"/>
      <c r="D2981" s="520" t="s">
        <v>3660</v>
      </c>
      <c r="E2981" s="521" t="s">
        <v>309</v>
      </c>
      <c r="F2981" s="518">
        <v>1</v>
      </c>
      <c r="G2981" s="274"/>
      <c r="H2981" s="275"/>
    </row>
    <row r="2982" spans="2:8" ht="14.25">
      <c r="B2982" s="129" t="s">
        <v>3952</v>
      </c>
      <c r="C2982" s="368"/>
      <c r="D2982" s="524" t="s">
        <v>3662</v>
      </c>
      <c r="E2982" s="521"/>
      <c r="F2982" s="518"/>
      <c r="G2982" s="274"/>
      <c r="H2982" s="275"/>
    </row>
    <row r="2983" spans="2:8" ht="14.25">
      <c r="B2983" s="129" t="s">
        <v>3953</v>
      </c>
      <c r="C2983" s="368"/>
      <c r="D2983" s="520" t="s">
        <v>3717</v>
      </c>
      <c r="E2983" s="521" t="s">
        <v>209</v>
      </c>
      <c r="F2983" s="518">
        <v>20</v>
      </c>
      <c r="G2983" s="274"/>
      <c r="H2983" s="275"/>
    </row>
    <row r="2984" spans="2:8" ht="14.25">
      <c r="B2984" s="129" t="s">
        <v>3954</v>
      </c>
      <c r="C2984" s="368"/>
      <c r="D2984" s="520" t="s">
        <v>3718</v>
      </c>
      <c r="E2984" s="521" t="s">
        <v>209</v>
      </c>
      <c r="F2984" s="518">
        <v>90</v>
      </c>
      <c r="G2984" s="274"/>
      <c r="H2984" s="275"/>
    </row>
    <row r="2985" spans="2:8" ht="14.25">
      <c r="B2985" s="129" t="s">
        <v>3955</v>
      </c>
      <c r="C2985" s="368"/>
      <c r="D2985" s="520" t="s">
        <v>3666</v>
      </c>
      <c r="E2985" s="521" t="s">
        <v>309</v>
      </c>
      <c r="F2985" s="518">
        <v>1</v>
      </c>
      <c r="G2985" s="274"/>
      <c r="H2985" s="275"/>
    </row>
    <row r="2986" spans="2:8" ht="43.5">
      <c r="B2986" s="186" t="s">
        <v>3956</v>
      </c>
      <c r="C2986" s="312"/>
      <c r="D2986" s="313" t="s">
        <v>3957</v>
      </c>
      <c r="E2986" s="314"/>
      <c r="F2986" s="283"/>
      <c r="G2986" s="233"/>
      <c r="H2986" s="234"/>
    </row>
    <row r="2987" spans="2:8" ht="14.25">
      <c r="B2987" s="129" t="s">
        <v>3958</v>
      </c>
      <c r="C2987" s="368"/>
      <c r="D2987" s="395" t="s">
        <v>3592</v>
      </c>
      <c r="E2987" s="189"/>
      <c r="F2987" s="384"/>
      <c r="G2987" s="274"/>
      <c r="H2987" s="275"/>
    </row>
    <row r="2988" spans="2:8" ht="14.25">
      <c r="B2988" s="129" t="s">
        <v>3959</v>
      </c>
      <c r="C2988" s="368"/>
      <c r="D2988" s="520" t="s">
        <v>3594</v>
      </c>
      <c r="E2988" s="521" t="s">
        <v>209</v>
      </c>
      <c r="F2988" s="525">
        <v>550</v>
      </c>
      <c r="G2988" s="274"/>
      <c r="H2988" s="275"/>
    </row>
    <row r="2989" spans="2:8" ht="14.25">
      <c r="B2989" s="129" t="s">
        <v>3960</v>
      </c>
      <c r="C2989" s="368"/>
      <c r="D2989" s="520" t="s">
        <v>3596</v>
      </c>
      <c r="E2989" s="521" t="s">
        <v>209</v>
      </c>
      <c r="F2989" s="525">
        <v>1400</v>
      </c>
      <c r="G2989" s="274"/>
      <c r="H2989" s="275"/>
    </row>
    <row r="2990" spans="2:8" ht="14.25">
      <c r="B2990" s="129" t="s">
        <v>3961</v>
      </c>
      <c r="C2990" s="368"/>
      <c r="D2990" s="520" t="s">
        <v>3598</v>
      </c>
      <c r="E2990" s="521" t="s">
        <v>99</v>
      </c>
      <c r="F2990" s="518">
        <v>14</v>
      </c>
      <c r="G2990" s="274"/>
      <c r="H2990" s="275"/>
    </row>
    <row r="2991" spans="2:8" ht="14.25">
      <c r="B2991" s="129" t="s">
        <v>3962</v>
      </c>
      <c r="C2991" s="368"/>
      <c r="D2991" s="520" t="s">
        <v>3600</v>
      </c>
      <c r="E2991" s="521" t="s">
        <v>99</v>
      </c>
      <c r="F2991" s="518">
        <v>261</v>
      </c>
      <c r="G2991" s="274"/>
      <c r="H2991" s="275"/>
    </row>
    <row r="2992" spans="2:8" ht="14.25">
      <c r="B2992" s="129" t="s">
        <v>3963</v>
      </c>
      <c r="C2992" s="368"/>
      <c r="D2992" s="520" t="s">
        <v>3602</v>
      </c>
      <c r="E2992" s="521" t="s">
        <v>99</v>
      </c>
      <c r="F2992" s="518">
        <v>21</v>
      </c>
      <c r="G2992" s="274"/>
      <c r="H2992" s="275"/>
    </row>
    <row r="2993" spans="2:8" ht="14.25">
      <c r="B2993" s="129" t="s">
        <v>3964</v>
      </c>
      <c r="C2993" s="368"/>
      <c r="D2993" s="520" t="s">
        <v>3604</v>
      </c>
      <c r="E2993" s="521" t="s">
        <v>209</v>
      </c>
      <c r="F2993" s="525">
        <v>700</v>
      </c>
      <c r="G2993" s="274"/>
      <c r="H2993" s="275"/>
    </row>
    <row r="2994" spans="2:8" ht="14.25">
      <c r="B2994" s="129" t="s">
        <v>3965</v>
      </c>
      <c r="C2994" s="368"/>
      <c r="D2994" s="520" t="s">
        <v>3606</v>
      </c>
      <c r="E2994" s="521" t="s">
        <v>309</v>
      </c>
      <c r="F2994" s="518">
        <v>1</v>
      </c>
      <c r="G2994" s="274"/>
      <c r="H2994" s="275"/>
    </row>
    <row r="2995" spans="2:8" ht="14.25">
      <c r="B2995" s="129" t="s">
        <v>3966</v>
      </c>
      <c r="C2995" s="368"/>
      <c r="D2995" s="520" t="s">
        <v>3608</v>
      </c>
      <c r="E2995" s="521" t="s">
        <v>99</v>
      </c>
      <c r="F2995" s="518">
        <v>20</v>
      </c>
      <c r="G2995" s="274"/>
      <c r="H2995" s="275"/>
    </row>
    <row r="2996" spans="2:8" ht="14.25">
      <c r="B2996" s="129" t="s">
        <v>3967</v>
      </c>
      <c r="C2996" s="368"/>
      <c r="D2996" s="520" t="s">
        <v>3968</v>
      </c>
      <c r="E2996" s="521" t="s">
        <v>99</v>
      </c>
      <c r="F2996" s="518">
        <v>1</v>
      </c>
      <c r="G2996" s="274"/>
      <c r="H2996" s="275"/>
    </row>
    <row r="2997" spans="2:8" ht="14.25">
      <c r="B2997" s="129" t="s">
        <v>3969</v>
      </c>
      <c r="C2997" s="368"/>
      <c r="D2997" s="520" t="s">
        <v>3610</v>
      </c>
      <c r="E2997" s="521" t="s">
        <v>99</v>
      </c>
      <c r="F2997" s="518">
        <v>11</v>
      </c>
      <c r="G2997" s="274"/>
      <c r="H2997" s="275"/>
    </row>
    <row r="2998" spans="2:8" ht="14.25">
      <c r="B2998" s="129" t="s">
        <v>3970</v>
      </c>
      <c r="C2998" s="368"/>
      <c r="D2998" s="520" t="s">
        <v>3680</v>
      </c>
      <c r="E2998" s="521" t="s">
        <v>99</v>
      </c>
      <c r="F2998" s="518">
        <v>84</v>
      </c>
      <c r="G2998" s="274"/>
      <c r="H2998" s="275"/>
    </row>
    <row r="2999" spans="2:8" ht="14.25">
      <c r="B2999" s="129" t="s">
        <v>3971</v>
      </c>
      <c r="C2999" s="368"/>
      <c r="D2999" s="520" t="s">
        <v>3612</v>
      </c>
      <c r="E2999" s="521" t="s">
        <v>99</v>
      </c>
      <c r="F2999" s="518">
        <v>67</v>
      </c>
      <c r="G2999" s="274"/>
      <c r="H2999" s="275"/>
    </row>
    <row r="3000" spans="2:8" ht="14.25">
      <c r="B3000" s="129" t="s">
        <v>3972</v>
      </c>
      <c r="C3000" s="368"/>
      <c r="D3000" s="520" t="s">
        <v>3614</v>
      </c>
      <c r="E3000" s="521" t="s">
        <v>99</v>
      </c>
      <c r="F3000" s="518">
        <v>88</v>
      </c>
      <c r="G3000" s="274"/>
      <c r="H3000" s="275"/>
    </row>
    <row r="3001" spans="2:8" ht="14.25">
      <c r="B3001" s="129" t="s">
        <v>3973</v>
      </c>
      <c r="C3001" s="368"/>
      <c r="D3001" s="520" t="s">
        <v>3616</v>
      </c>
      <c r="E3001" s="521" t="s">
        <v>99</v>
      </c>
      <c r="F3001" s="518">
        <v>30</v>
      </c>
      <c r="G3001" s="274"/>
      <c r="H3001" s="275"/>
    </row>
    <row r="3002" spans="2:8" ht="14.25">
      <c r="B3002" s="129"/>
      <c r="C3002" s="368"/>
      <c r="D3002" s="520" t="s">
        <v>3685</v>
      </c>
      <c r="E3002" s="521" t="s">
        <v>99</v>
      </c>
      <c r="F3002" s="518">
        <v>10</v>
      </c>
      <c r="G3002" s="274"/>
      <c r="H3002" s="275"/>
    </row>
    <row r="3003" spans="2:8" ht="14.25">
      <c r="B3003" s="129"/>
      <c r="C3003" s="368"/>
      <c r="D3003" s="520" t="s">
        <v>3974</v>
      </c>
      <c r="E3003" s="521" t="s">
        <v>99</v>
      </c>
      <c r="F3003" s="518">
        <v>20</v>
      </c>
      <c r="G3003" s="274"/>
      <c r="H3003" s="275"/>
    </row>
    <row r="3004" spans="2:8" ht="14.25">
      <c r="B3004" s="129" t="s">
        <v>3975</v>
      </c>
      <c r="C3004" s="368"/>
      <c r="D3004" s="524" t="s">
        <v>3620</v>
      </c>
      <c r="E3004" s="521"/>
      <c r="F3004" s="518"/>
      <c r="G3004" s="274"/>
      <c r="H3004" s="275"/>
    </row>
    <row r="3005" spans="2:8" ht="14.25">
      <c r="B3005" s="129" t="s">
        <v>3976</v>
      </c>
      <c r="C3005" s="368"/>
      <c r="D3005" s="520" t="s">
        <v>3622</v>
      </c>
      <c r="E3005" s="521" t="s">
        <v>209</v>
      </c>
      <c r="F3005" s="518">
        <v>630</v>
      </c>
      <c r="G3005" s="274"/>
      <c r="H3005" s="275"/>
    </row>
    <row r="3006" spans="2:8" ht="14.25">
      <c r="B3006" s="129" t="s">
        <v>3977</v>
      </c>
      <c r="C3006" s="368"/>
      <c r="D3006" s="520" t="s">
        <v>3624</v>
      </c>
      <c r="E3006" s="521" t="s">
        <v>209</v>
      </c>
      <c r="F3006" s="518">
        <v>1470</v>
      </c>
      <c r="G3006" s="274"/>
      <c r="H3006" s="275"/>
    </row>
    <row r="3007" spans="2:8" ht="14.25">
      <c r="B3007" s="129" t="s">
        <v>3978</v>
      </c>
      <c r="C3007" s="368"/>
      <c r="D3007" s="520" t="s">
        <v>3626</v>
      </c>
      <c r="E3007" s="521" t="s">
        <v>209</v>
      </c>
      <c r="F3007" s="518">
        <v>665</v>
      </c>
      <c r="G3007" s="274"/>
      <c r="H3007" s="275"/>
    </row>
    <row r="3008" spans="2:8" ht="14.25">
      <c r="B3008" s="129" t="s">
        <v>3979</v>
      </c>
      <c r="C3008" s="368"/>
      <c r="D3008" s="520" t="s">
        <v>3598</v>
      </c>
      <c r="E3008" s="521" t="s">
        <v>99</v>
      </c>
      <c r="F3008" s="518">
        <v>15</v>
      </c>
      <c r="G3008" s="274"/>
      <c r="H3008" s="275"/>
    </row>
    <row r="3009" spans="2:8" ht="14.25">
      <c r="B3009" s="129" t="s">
        <v>3980</v>
      </c>
      <c r="C3009" s="368"/>
      <c r="D3009" s="520" t="s">
        <v>3600</v>
      </c>
      <c r="E3009" s="521" t="s">
        <v>99</v>
      </c>
      <c r="F3009" s="518">
        <v>113</v>
      </c>
      <c r="G3009" s="274"/>
      <c r="H3009" s="275"/>
    </row>
    <row r="3010" spans="2:8" ht="14.25">
      <c r="B3010" s="129" t="s">
        <v>3981</v>
      </c>
      <c r="C3010" s="368"/>
      <c r="D3010" s="520" t="s">
        <v>3602</v>
      </c>
      <c r="E3010" s="521" t="s">
        <v>99</v>
      </c>
      <c r="F3010" s="518">
        <v>31</v>
      </c>
      <c r="G3010" s="274"/>
      <c r="H3010" s="275"/>
    </row>
    <row r="3011" spans="2:8" ht="14.25">
      <c r="B3011" s="129" t="s">
        <v>3982</v>
      </c>
      <c r="C3011" s="368"/>
      <c r="D3011" s="520" t="s">
        <v>3604</v>
      </c>
      <c r="E3011" s="521" t="s">
        <v>209</v>
      </c>
      <c r="F3011" s="518">
        <v>735</v>
      </c>
      <c r="G3011" s="274"/>
      <c r="H3011" s="275"/>
    </row>
    <row r="3012" spans="2:8" ht="14.25">
      <c r="B3012" s="129" t="s">
        <v>3983</v>
      </c>
      <c r="C3012" s="368"/>
      <c r="D3012" s="520" t="s">
        <v>3606</v>
      </c>
      <c r="E3012" s="521" t="s">
        <v>309</v>
      </c>
      <c r="F3012" s="518">
        <v>1</v>
      </c>
      <c r="G3012" s="274"/>
      <c r="H3012" s="275"/>
    </row>
    <row r="3013" spans="2:8" ht="14.25">
      <c r="B3013" s="129" t="s">
        <v>3984</v>
      </c>
      <c r="C3013" s="368"/>
      <c r="D3013" s="520" t="s">
        <v>3633</v>
      </c>
      <c r="E3013" s="521" t="s">
        <v>99</v>
      </c>
      <c r="F3013" s="518">
        <v>55</v>
      </c>
      <c r="G3013" s="274"/>
      <c r="H3013" s="275"/>
    </row>
    <row r="3014" spans="2:8" ht="14.25">
      <c r="B3014" s="129" t="s">
        <v>3985</v>
      </c>
      <c r="C3014" s="368"/>
      <c r="D3014" s="520" t="s">
        <v>3635</v>
      </c>
      <c r="E3014" s="521" t="s">
        <v>99</v>
      </c>
      <c r="F3014" s="518">
        <v>57</v>
      </c>
      <c r="G3014" s="274"/>
      <c r="H3014" s="275"/>
    </row>
    <row r="3015" spans="2:8" ht="14.25">
      <c r="B3015" s="129" t="s">
        <v>3986</v>
      </c>
      <c r="C3015" s="368"/>
      <c r="D3015" s="520" t="s">
        <v>3637</v>
      </c>
      <c r="E3015" s="521" t="s">
        <v>99</v>
      </c>
      <c r="F3015" s="518">
        <v>1</v>
      </c>
      <c r="G3015" s="274"/>
      <c r="H3015" s="275"/>
    </row>
    <row r="3016" spans="2:8" ht="14.25">
      <c r="B3016" s="129" t="s">
        <v>3987</v>
      </c>
      <c r="C3016" s="368"/>
      <c r="D3016" s="524" t="s">
        <v>3639</v>
      </c>
      <c r="E3016" s="521"/>
      <c r="F3016" s="518"/>
      <c r="G3016" s="274"/>
      <c r="H3016" s="275"/>
    </row>
    <row r="3017" spans="2:8" ht="14.25">
      <c r="B3017" s="129" t="s">
        <v>3988</v>
      </c>
      <c r="C3017" s="368"/>
      <c r="D3017" s="520" t="s">
        <v>3641</v>
      </c>
      <c r="E3017" s="521" t="s">
        <v>209</v>
      </c>
      <c r="F3017" s="518">
        <v>840</v>
      </c>
      <c r="G3017" s="274"/>
      <c r="H3017" s="275"/>
    </row>
    <row r="3018" spans="2:8" ht="14.25">
      <c r="B3018" s="129" t="s">
        <v>3989</v>
      </c>
      <c r="C3018" s="368"/>
      <c r="D3018" s="520" t="s">
        <v>3643</v>
      </c>
      <c r="E3018" s="521" t="s">
        <v>209</v>
      </c>
      <c r="F3018" s="518">
        <v>175</v>
      </c>
      <c r="G3018" s="274"/>
      <c r="H3018" s="275"/>
    </row>
    <row r="3019" spans="2:8" ht="14.25">
      <c r="B3019" s="129" t="s">
        <v>3990</v>
      </c>
      <c r="C3019" s="368"/>
      <c r="D3019" s="520" t="s">
        <v>3645</v>
      </c>
      <c r="E3019" s="521" t="s">
        <v>209</v>
      </c>
      <c r="F3019" s="518">
        <v>91</v>
      </c>
      <c r="G3019" s="274"/>
      <c r="H3019" s="275"/>
    </row>
    <row r="3020" spans="2:8" ht="14.25">
      <c r="B3020" s="129" t="s">
        <v>3991</v>
      </c>
      <c r="C3020" s="368"/>
      <c r="D3020" s="520" t="s">
        <v>3626</v>
      </c>
      <c r="E3020" s="521" t="s">
        <v>209</v>
      </c>
      <c r="F3020" s="518">
        <v>840</v>
      </c>
      <c r="G3020" s="274"/>
      <c r="H3020" s="275"/>
    </row>
    <row r="3021" spans="2:8" ht="14.25">
      <c r="B3021" s="129" t="s">
        <v>3992</v>
      </c>
      <c r="C3021" s="368"/>
      <c r="D3021" s="520" t="s">
        <v>3751</v>
      </c>
      <c r="E3021" s="521" t="s">
        <v>209</v>
      </c>
      <c r="F3021" s="518">
        <v>175</v>
      </c>
      <c r="G3021" s="274"/>
      <c r="H3021" s="275"/>
    </row>
    <row r="3022" spans="2:8" ht="14.25">
      <c r="B3022" s="129" t="s">
        <v>3993</v>
      </c>
      <c r="C3022" s="368"/>
      <c r="D3022" s="520" t="s">
        <v>3796</v>
      </c>
      <c r="E3022" s="521" t="s">
        <v>209</v>
      </c>
      <c r="F3022" s="518">
        <v>91</v>
      </c>
      <c r="G3022" s="274"/>
      <c r="H3022" s="275"/>
    </row>
    <row r="3023" spans="2:8" ht="14.25">
      <c r="B3023" s="129" t="s">
        <v>3994</v>
      </c>
      <c r="C3023" s="368"/>
      <c r="D3023" s="520" t="s">
        <v>3600</v>
      </c>
      <c r="E3023" s="521" t="s">
        <v>99</v>
      </c>
      <c r="F3023" s="518">
        <v>20</v>
      </c>
      <c r="G3023" s="274"/>
      <c r="H3023" s="275"/>
    </row>
    <row r="3024" spans="2:8" ht="14.25">
      <c r="B3024" s="129" t="s">
        <v>3995</v>
      </c>
      <c r="C3024" s="368"/>
      <c r="D3024" s="520" t="s">
        <v>3604</v>
      </c>
      <c r="E3024" s="521" t="s">
        <v>209</v>
      </c>
      <c r="F3024" s="518">
        <v>420</v>
      </c>
      <c r="G3024" s="274"/>
      <c r="H3024" s="275"/>
    </row>
    <row r="3025" spans="2:8" ht="14.25">
      <c r="B3025" s="129" t="s">
        <v>3996</v>
      </c>
      <c r="C3025" s="368"/>
      <c r="D3025" s="520" t="s">
        <v>3783</v>
      </c>
      <c r="E3025" s="521" t="s">
        <v>209</v>
      </c>
      <c r="F3025" s="518">
        <v>210</v>
      </c>
      <c r="G3025" s="274"/>
      <c r="H3025" s="275"/>
    </row>
    <row r="3026" spans="2:8" ht="25.5">
      <c r="B3026" s="129" t="s">
        <v>3997</v>
      </c>
      <c r="C3026" s="368"/>
      <c r="D3026" s="520" t="s">
        <v>3650</v>
      </c>
      <c r="E3026" s="521" t="s">
        <v>309</v>
      </c>
      <c r="F3026" s="518">
        <v>1</v>
      </c>
      <c r="G3026" s="274"/>
      <c r="H3026" s="275"/>
    </row>
    <row r="3027" spans="2:8" ht="14.25">
      <c r="B3027" s="129" t="s">
        <v>3998</v>
      </c>
      <c r="C3027" s="368"/>
      <c r="D3027" s="524" t="s">
        <v>3652</v>
      </c>
      <c r="E3027" s="521"/>
      <c r="F3027" s="518"/>
      <c r="G3027" s="274"/>
      <c r="H3027" s="275"/>
    </row>
    <row r="3028" spans="2:8" ht="14.25">
      <c r="B3028" s="129" t="s">
        <v>3999</v>
      </c>
      <c r="C3028" s="368"/>
      <c r="D3028" s="520" t="s">
        <v>3654</v>
      </c>
      <c r="E3028" s="521" t="s">
        <v>99</v>
      </c>
      <c r="F3028" s="518">
        <v>50</v>
      </c>
      <c r="G3028" s="274"/>
      <c r="H3028" s="275"/>
    </row>
    <row r="3029" spans="2:8" ht="14.25">
      <c r="B3029" s="129" t="s">
        <v>4000</v>
      </c>
      <c r="C3029" s="368"/>
      <c r="D3029" s="520" t="s">
        <v>3656</v>
      </c>
      <c r="E3029" s="521" t="s">
        <v>99</v>
      </c>
      <c r="F3029" s="518">
        <v>5</v>
      </c>
      <c r="G3029" s="274"/>
      <c r="H3029" s="275"/>
    </row>
    <row r="3030" spans="2:8" ht="14.25">
      <c r="B3030" s="129" t="s">
        <v>4001</v>
      </c>
      <c r="C3030" s="368"/>
      <c r="D3030" s="520" t="s">
        <v>3658</v>
      </c>
      <c r="E3030" s="521" t="s">
        <v>209</v>
      </c>
      <c r="F3030" s="518">
        <v>400</v>
      </c>
      <c r="G3030" s="274"/>
      <c r="H3030" s="275"/>
    </row>
    <row r="3031" spans="2:8" ht="14.25">
      <c r="B3031" s="129" t="s">
        <v>4002</v>
      </c>
      <c r="C3031" s="368"/>
      <c r="D3031" s="520" t="s">
        <v>3660</v>
      </c>
      <c r="E3031" s="521" t="s">
        <v>309</v>
      </c>
      <c r="F3031" s="518">
        <v>1</v>
      </c>
      <c r="G3031" s="274"/>
      <c r="H3031" s="275"/>
    </row>
    <row r="3032" spans="2:8" ht="14.25">
      <c r="B3032" s="129" t="s">
        <v>4003</v>
      </c>
      <c r="C3032" s="368"/>
      <c r="D3032" s="524" t="s">
        <v>3662</v>
      </c>
      <c r="E3032" s="521"/>
      <c r="F3032" s="518"/>
      <c r="G3032" s="274"/>
      <c r="H3032" s="275"/>
    </row>
    <row r="3033" spans="2:8" ht="14.25">
      <c r="B3033" s="129" t="s">
        <v>4004</v>
      </c>
      <c r="C3033" s="368"/>
      <c r="D3033" s="520" t="s">
        <v>3717</v>
      </c>
      <c r="E3033" s="521" t="s">
        <v>209</v>
      </c>
      <c r="F3033" s="518">
        <v>20</v>
      </c>
      <c r="G3033" s="274"/>
      <c r="H3033" s="275"/>
    </row>
    <row r="3034" spans="2:8" ht="14.25">
      <c r="B3034" s="129" t="s">
        <v>4005</v>
      </c>
      <c r="C3034" s="368"/>
      <c r="D3034" s="520" t="s">
        <v>3718</v>
      </c>
      <c r="E3034" s="521" t="s">
        <v>209</v>
      </c>
      <c r="F3034" s="518">
        <v>60</v>
      </c>
      <c r="G3034" s="274"/>
      <c r="H3034" s="275"/>
    </row>
    <row r="3035" spans="2:8" ht="14.25">
      <c r="B3035" s="129" t="s">
        <v>4006</v>
      </c>
      <c r="C3035" s="368"/>
      <c r="D3035" s="520" t="s">
        <v>3666</v>
      </c>
      <c r="E3035" s="521" t="s">
        <v>309</v>
      </c>
      <c r="F3035" s="518">
        <v>1</v>
      </c>
      <c r="G3035" s="274"/>
      <c r="H3035" s="275"/>
    </row>
    <row r="3036" spans="2:8" ht="43.5">
      <c r="B3036" s="186" t="s">
        <v>4007</v>
      </c>
      <c r="C3036" s="312"/>
      <c r="D3036" s="313" t="s">
        <v>4008</v>
      </c>
      <c r="E3036" s="314"/>
      <c r="F3036" s="283"/>
      <c r="G3036" s="233"/>
      <c r="H3036" s="234"/>
    </row>
    <row r="3037" spans="2:8" ht="14.25">
      <c r="B3037" s="129" t="s">
        <v>4009</v>
      </c>
      <c r="C3037" s="368"/>
      <c r="D3037" s="524" t="s">
        <v>3592</v>
      </c>
      <c r="E3037" s="521"/>
      <c r="F3037" s="518"/>
      <c r="G3037" s="274"/>
      <c r="H3037" s="275"/>
    </row>
    <row r="3038" spans="2:8" ht="14.25">
      <c r="B3038" s="129" t="s">
        <v>4010</v>
      </c>
      <c r="C3038" s="368"/>
      <c r="D3038" s="520" t="s">
        <v>3594</v>
      </c>
      <c r="E3038" s="521" t="s">
        <v>209</v>
      </c>
      <c r="F3038" s="525">
        <v>660</v>
      </c>
      <c r="G3038" s="274"/>
      <c r="H3038" s="275"/>
    </row>
    <row r="3039" spans="2:8" ht="14.25">
      <c r="B3039" s="129" t="s">
        <v>4011</v>
      </c>
      <c r="C3039" s="368"/>
      <c r="D3039" s="520" t="s">
        <v>3596</v>
      </c>
      <c r="E3039" s="521" t="s">
        <v>209</v>
      </c>
      <c r="F3039" s="525">
        <v>1680</v>
      </c>
      <c r="G3039" s="274"/>
      <c r="H3039" s="275"/>
    </row>
    <row r="3040" spans="2:8" ht="14.25">
      <c r="B3040" s="129" t="s">
        <v>4012</v>
      </c>
      <c r="C3040" s="368"/>
      <c r="D3040" s="520" t="s">
        <v>3598</v>
      </c>
      <c r="E3040" s="521" t="s">
        <v>99</v>
      </c>
      <c r="F3040" s="518">
        <v>10</v>
      </c>
      <c r="G3040" s="274"/>
      <c r="H3040" s="275"/>
    </row>
    <row r="3041" spans="2:8" ht="14.25">
      <c r="B3041" s="129" t="s">
        <v>4013</v>
      </c>
      <c r="C3041" s="368"/>
      <c r="D3041" s="520" t="s">
        <v>3600</v>
      </c>
      <c r="E3041" s="521" t="s">
        <v>99</v>
      </c>
      <c r="F3041" s="518">
        <v>184</v>
      </c>
      <c r="G3041" s="274"/>
      <c r="H3041" s="275"/>
    </row>
    <row r="3042" spans="2:8" ht="14.25">
      <c r="B3042" s="129" t="s">
        <v>4014</v>
      </c>
      <c r="C3042" s="368"/>
      <c r="D3042" s="520" t="s">
        <v>3602</v>
      </c>
      <c r="E3042" s="521" t="s">
        <v>99</v>
      </c>
      <c r="F3042" s="518">
        <v>20</v>
      </c>
      <c r="G3042" s="274"/>
      <c r="H3042" s="275"/>
    </row>
    <row r="3043" spans="2:8" ht="14.25">
      <c r="B3043" s="129" t="s">
        <v>4015</v>
      </c>
      <c r="C3043" s="368"/>
      <c r="D3043" s="520" t="s">
        <v>3604</v>
      </c>
      <c r="E3043" s="521" t="s">
        <v>209</v>
      </c>
      <c r="F3043" s="525">
        <v>600</v>
      </c>
      <c r="G3043" s="274"/>
      <c r="H3043" s="275"/>
    </row>
    <row r="3044" spans="2:8" ht="14.25">
      <c r="B3044" s="129" t="s">
        <v>4016</v>
      </c>
      <c r="C3044" s="368"/>
      <c r="D3044" s="520" t="s">
        <v>3606</v>
      </c>
      <c r="E3044" s="521" t="s">
        <v>309</v>
      </c>
      <c r="F3044" s="518">
        <v>1</v>
      </c>
      <c r="G3044" s="274"/>
      <c r="H3044" s="275"/>
    </row>
    <row r="3045" spans="2:8" ht="14.25">
      <c r="B3045" s="129" t="s">
        <v>4017</v>
      </c>
      <c r="C3045" s="368"/>
      <c r="D3045" s="520" t="s">
        <v>3608</v>
      </c>
      <c r="E3045" s="521" t="s">
        <v>99</v>
      </c>
      <c r="F3045" s="518">
        <v>20</v>
      </c>
      <c r="G3045" s="274"/>
      <c r="H3045" s="275"/>
    </row>
    <row r="3046" spans="2:8" ht="14.25">
      <c r="B3046" s="129" t="s">
        <v>4018</v>
      </c>
      <c r="C3046" s="368"/>
      <c r="D3046" s="520" t="s">
        <v>3610</v>
      </c>
      <c r="E3046" s="521" t="s">
        <v>99</v>
      </c>
      <c r="F3046" s="518">
        <v>6</v>
      </c>
      <c r="G3046" s="274"/>
      <c r="H3046" s="275"/>
    </row>
    <row r="3047" spans="2:8" ht="14.25">
      <c r="B3047" s="129" t="s">
        <v>4019</v>
      </c>
      <c r="C3047" s="368"/>
      <c r="D3047" s="520" t="s">
        <v>3680</v>
      </c>
      <c r="E3047" s="521" t="s">
        <v>99</v>
      </c>
      <c r="F3047" s="518">
        <v>71</v>
      </c>
      <c r="G3047" s="274"/>
      <c r="H3047" s="275"/>
    </row>
    <row r="3048" spans="2:8" ht="14.25">
      <c r="B3048" s="129" t="s">
        <v>4020</v>
      </c>
      <c r="C3048" s="368"/>
      <c r="D3048" s="520" t="s">
        <v>3612</v>
      </c>
      <c r="E3048" s="521" t="s">
        <v>99</v>
      </c>
      <c r="F3048" s="518">
        <v>2</v>
      </c>
      <c r="G3048" s="274"/>
      <c r="H3048" s="275"/>
    </row>
    <row r="3049" spans="2:8" ht="14.25">
      <c r="B3049" s="129" t="s">
        <v>4021</v>
      </c>
      <c r="C3049" s="368"/>
      <c r="D3049" s="520" t="s">
        <v>3614</v>
      </c>
      <c r="E3049" s="521" t="s">
        <v>99</v>
      </c>
      <c r="F3049" s="518">
        <v>79</v>
      </c>
      <c r="G3049" s="274"/>
      <c r="H3049" s="275"/>
    </row>
    <row r="3050" spans="2:8" ht="14.25">
      <c r="B3050" s="129" t="s">
        <v>4022</v>
      </c>
      <c r="C3050" s="368"/>
      <c r="D3050" s="520" t="s">
        <v>3616</v>
      </c>
      <c r="E3050" s="521" t="s">
        <v>99</v>
      </c>
      <c r="F3050" s="518">
        <v>28</v>
      </c>
      <c r="G3050" s="274"/>
      <c r="H3050" s="275"/>
    </row>
    <row r="3051" spans="2:8" ht="14.25">
      <c r="B3051" s="129" t="s">
        <v>4023</v>
      </c>
      <c r="C3051" s="368"/>
      <c r="D3051" s="520" t="s">
        <v>3685</v>
      </c>
      <c r="E3051" s="521"/>
      <c r="F3051" s="518">
        <v>10</v>
      </c>
      <c r="G3051" s="274"/>
      <c r="H3051" s="275"/>
    </row>
    <row r="3052" spans="2:8" ht="14.25">
      <c r="B3052" s="129" t="s">
        <v>4024</v>
      </c>
      <c r="C3052" s="368"/>
      <c r="D3052" s="524" t="s">
        <v>3620</v>
      </c>
      <c r="E3052" s="521"/>
      <c r="F3052" s="518"/>
      <c r="G3052" s="274"/>
      <c r="H3052" s="275"/>
    </row>
    <row r="3053" spans="2:8" ht="14.25">
      <c r="B3053" s="129" t="s">
        <v>4025</v>
      </c>
      <c r="C3053" s="368"/>
      <c r="D3053" s="520" t="s">
        <v>3622</v>
      </c>
      <c r="E3053" s="521" t="s">
        <v>209</v>
      </c>
      <c r="F3053" s="518">
        <v>600</v>
      </c>
      <c r="G3053" s="274"/>
      <c r="H3053" s="275"/>
    </row>
    <row r="3054" spans="2:8" ht="14.25">
      <c r="B3054" s="129" t="s">
        <v>4026</v>
      </c>
      <c r="C3054" s="368"/>
      <c r="D3054" s="520" t="s">
        <v>3624</v>
      </c>
      <c r="E3054" s="521" t="s">
        <v>209</v>
      </c>
      <c r="F3054" s="518">
        <v>1100</v>
      </c>
      <c r="G3054" s="274"/>
      <c r="H3054" s="275"/>
    </row>
    <row r="3055" spans="2:8" ht="14.25">
      <c r="B3055" s="129" t="s">
        <v>4027</v>
      </c>
      <c r="C3055" s="368"/>
      <c r="D3055" s="520" t="s">
        <v>3626</v>
      </c>
      <c r="E3055" s="521" t="s">
        <v>209</v>
      </c>
      <c r="F3055" s="518">
        <v>560</v>
      </c>
      <c r="G3055" s="274"/>
      <c r="H3055" s="275"/>
    </row>
    <row r="3056" spans="2:8" ht="14.25">
      <c r="B3056" s="129" t="s">
        <v>4028</v>
      </c>
      <c r="C3056" s="368"/>
      <c r="D3056" s="520" t="s">
        <v>3598</v>
      </c>
      <c r="E3056" s="521" t="s">
        <v>99</v>
      </c>
      <c r="F3056" s="518">
        <v>15</v>
      </c>
      <c r="G3056" s="274"/>
      <c r="H3056" s="275"/>
    </row>
    <row r="3057" spans="2:8" ht="14.25">
      <c r="B3057" s="129" t="s">
        <v>4029</v>
      </c>
      <c r="C3057" s="368"/>
      <c r="D3057" s="520" t="s">
        <v>3600</v>
      </c>
      <c r="E3057" s="521" t="s">
        <v>99</v>
      </c>
      <c r="F3057" s="518">
        <v>95</v>
      </c>
      <c r="G3057" s="274"/>
      <c r="H3057" s="275"/>
    </row>
    <row r="3058" spans="2:8" ht="14.25">
      <c r="B3058" s="129" t="s">
        <v>4030</v>
      </c>
      <c r="C3058" s="368"/>
      <c r="D3058" s="520" t="s">
        <v>3602</v>
      </c>
      <c r="E3058" s="521" t="s">
        <v>99</v>
      </c>
      <c r="F3058" s="518">
        <v>25</v>
      </c>
      <c r="G3058" s="274"/>
      <c r="H3058" s="275"/>
    </row>
    <row r="3059" spans="2:8" ht="14.25">
      <c r="B3059" s="129" t="s">
        <v>4031</v>
      </c>
      <c r="C3059" s="368"/>
      <c r="D3059" s="520" t="s">
        <v>3604</v>
      </c>
      <c r="E3059" s="521" t="s">
        <v>209</v>
      </c>
      <c r="F3059" s="518">
        <v>550</v>
      </c>
      <c r="G3059" s="274"/>
      <c r="H3059" s="275"/>
    </row>
    <row r="3060" spans="2:8" ht="14.25">
      <c r="B3060" s="129" t="s">
        <v>4032</v>
      </c>
      <c r="C3060" s="368"/>
      <c r="D3060" s="520" t="s">
        <v>3606</v>
      </c>
      <c r="E3060" s="521" t="s">
        <v>309</v>
      </c>
      <c r="F3060" s="518">
        <v>1</v>
      </c>
      <c r="G3060" s="274"/>
      <c r="H3060" s="275"/>
    </row>
    <row r="3061" spans="2:8" ht="14.25">
      <c r="B3061" s="129" t="s">
        <v>4033</v>
      </c>
      <c r="C3061" s="368"/>
      <c r="D3061" s="520" t="s">
        <v>3633</v>
      </c>
      <c r="E3061" s="521" t="s">
        <v>99</v>
      </c>
      <c r="F3061" s="518">
        <v>48</v>
      </c>
      <c r="G3061" s="274"/>
      <c r="H3061" s="275"/>
    </row>
    <row r="3062" spans="2:8" ht="14.25">
      <c r="B3062" s="129" t="s">
        <v>4034</v>
      </c>
      <c r="C3062" s="368"/>
      <c r="D3062" s="520" t="s">
        <v>3635</v>
      </c>
      <c r="E3062" s="521" t="s">
        <v>99</v>
      </c>
      <c r="F3062" s="518">
        <v>45</v>
      </c>
      <c r="G3062" s="274"/>
      <c r="H3062" s="275"/>
    </row>
    <row r="3063" spans="2:8" ht="14.25">
      <c r="B3063" s="129" t="s">
        <v>4035</v>
      </c>
      <c r="C3063" s="368"/>
      <c r="D3063" s="520" t="s">
        <v>3637</v>
      </c>
      <c r="E3063" s="521" t="s">
        <v>99</v>
      </c>
      <c r="F3063" s="518">
        <v>2</v>
      </c>
      <c r="G3063" s="274"/>
      <c r="H3063" s="275"/>
    </row>
    <row r="3064" spans="2:8" ht="14.25">
      <c r="B3064" s="129" t="s">
        <v>4036</v>
      </c>
      <c r="C3064" s="368"/>
      <c r="D3064" s="524" t="s">
        <v>3639</v>
      </c>
      <c r="E3064" s="521"/>
      <c r="F3064" s="518"/>
      <c r="G3064" s="274"/>
      <c r="H3064" s="275"/>
    </row>
    <row r="3065" spans="2:8" ht="14.25">
      <c r="B3065" s="129" t="s">
        <v>4037</v>
      </c>
      <c r="C3065" s="368"/>
      <c r="D3065" s="520" t="s">
        <v>3641</v>
      </c>
      <c r="E3065" s="521" t="s">
        <v>209</v>
      </c>
      <c r="F3065" s="518">
        <v>840</v>
      </c>
      <c r="G3065" s="274"/>
      <c r="H3065" s="275"/>
    </row>
    <row r="3066" spans="2:8" ht="14.25">
      <c r="B3066" s="129" t="s">
        <v>4038</v>
      </c>
      <c r="C3066" s="368"/>
      <c r="D3066" s="520" t="s">
        <v>3643</v>
      </c>
      <c r="E3066" s="521" t="s">
        <v>209</v>
      </c>
      <c r="F3066" s="518">
        <v>175</v>
      </c>
      <c r="G3066" s="274"/>
      <c r="H3066" s="275"/>
    </row>
    <row r="3067" spans="2:8" ht="14.25">
      <c r="B3067" s="129" t="s">
        <v>4039</v>
      </c>
      <c r="C3067" s="368"/>
      <c r="D3067" s="520" t="s">
        <v>3645</v>
      </c>
      <c r="E3067" s="521" t="s">
        <v>209</v>
      </c>
      <c r="F3067" s="518">
        <v>91</v>
      </c>
      <c r="G3067" s="274"/>
      <c r="H3067" s="275"/>
    </row>
    <row r="3068" spans="2:8" ht="14.25">
      <c r="B3068" s="129" t="s">
        <v>4040</v>
      </c>
      <c r="C3068" s="368"/>
      <c r="D3068" s="520" t="s">
        <v>3626</v>
      </c>
      <c r="E3068" s="521" t="s">
        <v>209</v>
      </c>
      <c r="F3068" s="518">
        <v>840</v>
      </c>
      <c r="G3068" s="274"/>
      <c r="H3068" s="275"/>
    </row>
    <row r="3069" spans="2:8" ht="14.25">
      <c r="B3069" s="129" t="s">
        <v>4041</v>
      </c>
      <c r="C3069" s="368"/>
      <c r="D3069" s="520" t="s">
        <v>3751</v>
      </c>
      <c r="E3069" s="521" t="s">
        <v>209</v>
      </c>
      <c r="F3069" s="518">
        <v>175</v>
      </c>
      <c r="G3069" s="274"/>
      <c r="H3069" s="275"/>
    </row>
    <row r="3070" spans="2:8" ht="14.25">
      <c r="B3070" s="129" t="s">
        <v>4042</v>
      </c>
      <c r="C3070" s="368"/>
      <c r="D3070" s="520" t="s">
        <v>3796</v>
      </c>
      <c r="E3070" s="521" t="s">
        <v>209</v>
      </c>
      <c r="F3070" s="518">
        <v>91</v>
      </c>
      <c r="G3070" s="274"/>
      <c r="H3070" s="275"/>
    </row>
    <row r="3071" spans="2:8" ht="14.25">
      <c r="B3071" s="129" t="s">
        <v>4043</v>
      </c>
      <c r="C3071" s="368"/>
      <c r="D3071" s="520" t="s">
        <v>3600</v>
      </c>
      <c r="E3071" s="521" t="s">
        <v>99</v>
      </c>
      <c r="F3071" s="518">
        <v>19</v>
      </c>
      <c r="G3071" s="274"/>
      <c r="H3071" s="275"/>
    </row>
    <row r="3072" spans="2:8" ht="14.25">
      <c r="B3072" s="129" t="s">
        <v>4044</v>
      </c>
      <c r="C3072" s="368"/>
      <c r="D3072" s="520" t="s">
        <v>3604</v>
      </c>
      <c r="E3072" s="521" t="s">
        <v>209</v>
      </c>
      <c r="F3072" s="518">
        <v>420</v>
      </c>
      <c r="G3072" s="274"/>
      <c r="H3072" s="275"/>
    </row>
    <row r="3073" spans="2:8" ht="14.25">
      <c r="B3073" s="129" t="s">
        <v>4045</v>
      </c>
      <c r="C3073" s="368"/>
      <c r="D3073" s="520" t="s">
        <v>3783</v>
      </c>
      <c r="E3073" s="521" t="s">
        <v>209</v>
      </c>
      <c r="F3073" s="518">
        <v>210</v>
      </c>
      <c r="G3073" s="274"/>
      <c r="H3073" s="275"/>
    </row>
    <row r="3074" spans="2:8" ht="25.5">
      <c r="B3074" s="129" t="s">
        <v>4046</v>
      </c>
      <c r="C3074" s="368"/>
      <c r="D3074" s="520" t="s">
        <v>3650</v>
      </c>
      <c r="E3074" s="521" t="s">
        <v>309</v>
      </c>
      <c r="F3074" s="518">
        <v>1</v>
      </c>
      <c r="G3074" s="274"/>
      <c r="H3074" s="275"/>
    </row>
    <row r="3075" spans="2:8" ht="14.25">
      <c r="B3075" s="129" t="s">
        <v>4047</v>
      </c>
      <c r="C3075" s="368"/>
      <c r="D3075" s="524" t="s">
        <v>3652</v>
      </c>
      <c r="E3075" s="521"/>
      <c r="F3075" s="518"/>
      <c r="G3075" s="274"/>
      <c r="H3075" s="275"/>
    </row>
    <row r="3076" spans="2:8" ht="14.25">
      <c r="B3076" s="129" t="s">
        <v>4048</v>
      </c>
      <c r="C3076" s="368"/>
      <c r="D3076" s="520" t="s">
        <v>3654</v>
      </c>
      <c r="E3076" s="521" t="s">
        <v>99</v>
      </c>
      <c r="F3076" s="518">
        <v>50</v>
      </c>
      <c r="G3076" s="274"/>
      <c r="H3076" s="275"/>
    </row>
    <row r="3077" spans="2:8" ht="14.25">
      <c r="B3077" s="129" t="s">
        <v>4049</v>
      </c>
      <c r="C3077" s="368"/>
      <c r="D3077" s="520" t="s">
        <v>3656</v>
      </c>
      <c r="E3077" s="521" t="s">
        <v>99</v>
      </c>
      <c r="F3077" s="518">
        <v>5</v>
      </c>
      <c r="G3077" s="274"/>
      <c r="H3077" s="275"/>
    </row>
    <row r="3078" spans="2:8" ht="14.25">
      <c r="B3078" s="129" t="s">
        <v>4050</v>
      </c>
      <c r="C3078" s="368"/>
      <c r="D3078" s="520" t="s">
        <v>3658</v>
      </c>
      <c r="E3078" s="521" t="s">
        <v>209</v>
      </c>
      <c r="F3078" s="518">
        <v>400</v>
      </c>
      <c r="G3078" s="274"/>
      <c r="H3078" s="275"/>
    </row>
    <row r="3079" spans="2:8" ht="14.25">
      <c r="B3079" s="129" t="s">
        <v>4051</v>
      </c>
      <c r="C3079" s="368"/>
      <c r="D3079" s="520" t="s">
        <v>3660</v>
      </c>
      <c r="E3079" s="521" t="s">
        <v>309</v>
      </c>
      <c r="F3079" s="518">
        <v>1</v>
      </c>
      <c r="G3079" s="274"/>
      <c r="H3079" s="275"/>
    </row>
    <row r="3080" spans="2:8" ht="14.25">
      <c r="B3080" s="129" t="s">
        <v>4052</v>
      </c>
      <c r="C3080" s="368"/>
      <c r="D3080" s="524" t="s">
        <v>3662</v>
      </c>
      <c r="E3080" s="521"/>
      <c r="F3080" s="518"/>
      <c r="G3080" s="274"/>
      <c r="H3080" s="275"/>
    </row>
    <row r="3081" spans="2:8" ht="14.25">
      <c r="B3081" s="129" t="s">
        <v>4053</v>
      </c>
      <c r="C3081" s="368"/>
      <c r="D3081" s="520" t="s">
        <v>3717</v>
      </c>
      <c r="E3081" s="521" t="s">
        <v>209</v>
      </c>
      <c r="F3081" s="518">
        <v>20</v>
      </c>
      <c r="G3081" s="274"/>
      <c r="H3081" s="275"/>
    </row>
    <row r="3082" spans="2:8" ht="14.25">
      <c r="B3082" s="129" t="s">
        <v>4054</v>
      </c>
      <c r="C3082" s="368"/>
      <c r="D3082" s="520" t="s">
        <v>3718</v>
      </c>
      <c r="E3082" s="521" t="s">
        <v>209</v>
      </c>
      <c r="F3082" s="518">
        <v>60</v>
      </c>
      <c r="G3082" s="274"/>
      <c r="H3082" s="275"/>
    </row>
    <row r="3083" spans="2:8" ht="14.25">
      <c r="B3083" s="129" t="s">
        <v>4055</v>
      </c>
      <c r="C3083" s="368"/>
      <c r="D3083" s="520" t="s">
        <v>3666</v>
      </c>
      <c r="E3083" s="521" t="s">
        <v>309</v>
      </c>
      <c r="F3083" s="518">
        <v>1</v>
      </c>
      <c r="G3083" s="274"/>
      <c r="H3083" s="275"/>
    </row>
    <row r="3084" spans="2:8" ht="29.25">
      <c r="B3084" s="186" t="s">
        <v>4056</v>
      </c>
      <c r="C3084" s="312"/>
      <c r="D3084" s="313" t="s">
        <v>4057</v>
      </c>
      <c r="E3084" s="314"/>
      <c r="F3084" s="283"/>
      <c r="G3084" s="233"/>
      <c r="H3084" s="234"/>
    </row>
    <row r="3085" spans="2:8" ht="14.25">
      <c r="B3085" s="129" t="s">
        <v>4058</v>
      </c>
      <c r="C3085" s="368"/>
      <c r="D3085" s="524" t="s">
        <v>3592</v>
      </c>
      <c r="E3085" s="521"/>
      <c r="F3085" s="518"/>
      <c r="G3085" s="274"/>
      <c r="H3085" s="275"/>
    </row>
    <row r="3086" spans="2:8" ht="14.25">
      <c r="B3086" s="129" t="s">
        <v>4059</v>
      </c>
      <c r="C3086" s="368"/>
      <c r="D3086" s="520" t="s">
        <v>3594</v>
      </c>
      <c r="E3086" s="521" t="s">
        <v>209</v>
      </c>
      <c r="F3086" s="525">
        <v>640</v>
      </c>
      <c r="G3086" s="274"/>
      <c r="H3086" s="275"/>
    </row>
    <row r="3087" spans="2:8" ht="14.25">
      <c r="B3087" s="129" t="s">
        <v>4060</v>
      </c>
      <c r="C3087" s="368"/>
      <c r="D3087" s="520" t="s">
        <v>3596</v>
      </c>
      <c r="E3087" s="521" t="s">
        <v>209</v>
      </c>
      <c r="F3087" s="525">
        <v>1460</v>
      </c>
      <c r="G3087" s="274"/>
      <c r="H3087" s="275"/>
    </row>
    <row r="3088" spans="2:8" ht="14.25">
      <c r="B3088" s="129" t="s">
        <v>4061</v>
      </c>
      <c r="C3088" s="368"/>
      <c r="D3088" s="520" t="s">
        <v>3598</v>
      </c>
      <c r="E3088" s="521" t="s">
        <v>99</v>
      </c>
      <c r="F3088" s="518">
        <v>10</v>
      </c>
      <c r="G3088" s="274"/>
      <c r="H3088" s="275"/>
    </row>
    <row r="3089" spans="2:8" ht="14.25">
      <c r="B3089" s="129" t="s">
        <v>4062</v>
      </c>
      <c r="C3089" s="368"/>
      <c r="D3089" s="520" t="s">
        <v>3600</v>
      </c>
      <c r="E3089" s="521" t="s">
        <v>99</v>
      </c>
      <c r="F3089" s="518">
        <v>125</v>
      </c>
      <c r="G3089" s="274"/>
      <c r="H3089" s="275"/>
    </row>
    <row r="3090" spans="2:8" ht="14.25">
      <c r="B3090" s="129" t="s">
        <v>4063</v>
      </c>
      <c r="C3090" s="368"/>
      <c r="D3090" s="520" t="s">
        <v>3602</v>
      </c>
      <c r="E3090" s="521" t="s">
        <v>99</v>
      </c>
      <c r="F3090" s="518">
        <v>5</v>
      </c>
      <c r="G3090" s="274"/>
      <c r="H3090" s="275"/>
    </row>
    <row r="3091" spans="2:8" ht="14.25">
      <c r="B3091" s="129" t="s">
        <v>4064</v>
      </c>
      <c r="C3091" s="368"/>
      <c r="D3091" s="520" t="s">
        <v>3604</v>
      </c>
      <c r="E3091" s="521" t="s">
        <v>209</v>
      </c>
      <c r="F3091" s="525">
        <v>650</v>
      </c>
      <c r="G3091" s="274"/>
      <c r="H3091" s="275"/>
    </row>
    <row r="3092" spans="2:8" ht="14.25">
      <c r="B3092" s="129" t="s">
        <v>4065</v>
      </c>
      <c r="C3092" s="368"/>
      <c r="D3092" s="520" t="s">
        <v>3606</v>
      </c>
      <c r="E3092" s="521" t="s">
        <v>309</v>
      </c>
      <c r="F3092" s="518">
        <v>1</v>
      </c>
      <c r="G3092" s="274"/>
      <c r="H3092" s="275"/>
    </row>
    <row r="3093" spans="2:8" ht="14.25">
      <c r="B3093" s="129" t="s">
        <v>4066</v>
      </c>
      <c r="C3093" s="368"/>
      <c r="D3093" s="520" t="s">
        <v>3608</v>
      </c>
      <c r="E3093" s="521" t="s">
        <v>99</v>
      </c>
      <c r="F3093" s="518">
        <v>1</v>
      </c>
      <c r="G3093" s="274"/>
      <c r="H3093" s="275"/>
    </row>
    <row r="3094" spans="2:8" ht="14.25">
      <c r="B3094" s="129" t="s">
        <v>4067</v>
      </c>
      <c r="C3094" s="368"/>
      <c r="D3094" s="520" t="s">
        <v>4068</v>
      </c>
      <c r="E3094" s="521" t="s">
        <v>99</v>
      </c>
      <c r="F3094" s="518">
        <v>4</v>
      </c>
      <c r="G3094" s="274"/>
      <c r="H3094" s="275"/>
    </row>
    <row r="3095" spans="2:8" ht="14.25">
      <c r="B3095" s="129" t="s">
        <v>4069</v>
      </c>
      <c r="C3095" s="368"/>
      <c r="D3095" s="520" t="s">
        <v>3610</v>
      </c>
      <c r="E3095" s="521" t="s">
        <v>99</v>
      </c>
      <c r="F3095" s="518">
        <v>6</v>
      </c>
      <c r="G3095" s="274"/>
      <c r="H3095" s="275"/>
    </row>
    <row r="3096" spans="2:8" ht="14.25">
      <c r="B3096" s="129" t="s">
        <v>4070</v>
      </c>
      <c r="C3096" s="368"/>
      <c r="D3096" s="520" t="s">
        <v>3680</v>
      </c>
      <c r="E3096" s="521" t="s">
        <v>99</v>
      </c>
      <c r="F3096" s="518">
        <v>27</v>
      </c>
      <c r="G3096" s="274"/>
      <c r="H3096" s="275"/>
    </row>
    <row r="3097" spans="2:8" ht="14.25">
      <c r="B3097" s="129" t="s">
        <v>4071</v>
      </c>
      <c r="C3097" s="368"/>
      <c r="D3097" s="520" t="s">
        <v>3612</v>
      </c>
      <c r="E3097" s="521" t="s">
        <v>99</v>
      </c>
      <c r="F3097" s="518">
        <v>74</v>
      </c>
      <c r="G3097" s="274"/>
      <c r="H3097" s="275"/>
    </row>
    <row r="3098" spans="2:8" ht="14.25">
      <c r="B3098" s="129" t="s">
        <v>4072</v>
      </c>
      <c r="C3098" s="368"/>
      <c r="D3098" s="520" t="s">
        <v>3614</v>
      </c>
      <c r="E3098" s="521" t="s">
        <v>99</v>
      </c>
      <c r="F3098" s="518">
        <v>24</v>
      </c>
      <c r="G3098" s="274"/>
      <c r="H3098" s="275"/>
    </row>
    <row r="3099" spans="2:8" ht="14.25">
      <c r="B3099" s="129" t="s">
        <v>4073</v>
      </c>
      <c r="C3099" s="368"/>
      <c r="D3099" s="520" t="s">
        <v>3616</v>
      </c>
      <c r="E3099" s="521" t="s">
        <v>99</v>
      </c>
      <c r="F3099" s="518">
        <v>3</v>
      </c>
      <c r="G3099" s="274"/>
      <c r="H3099" s="275"/>
    </row>
    <row r="3100" spans="2:8" ht="14.25">
      <c r="B3100" s="129"/>
      <c r="C3100" s="368"/>
      <c r="D3100" s="520" t="s">
        <v>3974</v>
      </c>
      <c r="E3100" s="521" t="s">
        <v>99</v>
      </c>
      <c r="F3100" s="518">
        <v>21</v>
      </c>
      <c r="G3100" s="274"/>
      <c r="H3100" s="275"/>
    </row>
    <row r="3101" spans="2:8" ht="14.25">
      <c r="B3101" s="129" t="s">
        <v>4074</v>
      </c>
      <c r="C3101" s="368"/>
      <c r="D3101" s="524" t="s">
        <v>3620</v>
      </c>
      <c r="E3101" s="521"/>
      <c r="F3101" s="518"/>
      <c r="G3101" s="274"/>
      <c r="H3101" s="275"/>
    </row>
    <row r="3102" spans="2:8" ht="14.25">
      <c r="B3102" s="129" t="s">
        <v>4075</v>
      </c>
      <c r="C3102" s="368"/>
      <c r="D3102" s="520" t="s">
        <v>3622</v>
      </c>
      <c r="E3102" s="521" t="s">
        <v>209</v>
      </c>
      <c r="F3102" s="518">
        <v>420</v>
      </c>
      <c r="G3102" s="274"/>
      <c r="H3102" s="275"/>
    </row>
    <row r="3103" spans="2:8" ht="14.25">
      <c r="B3103" s="129" t="s">
        <v>4076</v>
      </c>
      <c r="C3103" s="368"/>
      <c r="D3103" s="520" t="s">
        <v>3624</v>
      </c>
      <c r="E3103" s="521" t="s">
        <v>209</v>
      </c>
      <c r="F3103" s="518">
        <v>850</v>
      </c>
      <c r="G3103" s="274"/>
      <c r="H3103" s="275"/>
    </row>
    <row r="3104" spans="2:8" ht="14.25">
      <c r="B3104" s="129" t="s">
        <v>4077</v>
      </c>
      <c r="C3104" s="368"/>
      <c r="D3104" s="520" t="s">
        <v>3626</v>
      </c>
      <c r="E3104" s="521" t="s">
        <v>209</v>
      </c>
      <c r="F3104" s="518">
        <v>440</v>
      </c>
      <c r="G3104" s="274"/>
      <c r="H3104" s="275"/>
    </row>
    <row r="3105" spans="2:8" ht="14.25">
      <c r="B3105" s="129" t="s">
        <v>4078</v>
      </c>
      <c r="C3105" s="368"/>
      <c r="D3105" s="520" t="s">
        <v>3598</v>
      </c>
      <c r="E3105" s="521" t="s">
        <v>99</v>
      </c>
      <c r="F3105" s="518">
        <v>10</v>
      </c>
      <c r="G3105" s="274"/>
      <c r="H3105" s="275"/>
    </row>
    <row r="3106" spans="2:8" ht="14.25">
      <c r="B3106" s="129" t="s">
        <v>4079</v>
      </c>
      <c r="C3106" s="368"/>
      <c r="D3106" s="520" t="s">
        <v>3600</v>
      </c>
      <c r="E3106" s="521" t="s">
        <v>99</v>
      </c>
      <c r="F3106" s="518">
        <v>46</v>
      </c>
      <c r="G3106" s="274"/>
      <c r="H3106" s="275"/>
    </row>
    <row r="3107" spans="2:8" ht="14.25">
      <c r="B3107" s="129" t="s">
        <v>4080</v>
      </c>
      <c r="C3107" s="368"/>
      <c r="D3107" s="520" t="s">
        <v>3602</v>
      </c>
      <c r="E3107" s="521" t="s">
        <v>99</v>
      </c>
      <c r="F3107" s="518">
        <v>40</v>
      </c>
      <c r="G3107" s="274"/>
      <c r="H3107" s="275"/>
    </row>
    <row r="3108" spans="2:8" ht="14.25">
      <c r="B3108" s="129" t="s">
        <v>4081</v>
      </c>
      <c r="C3108" s="368"/>
      <c r="D3108" s="520" t="s">
        <v>3604</v>
      </c>
      <c r="E3108" s="521" t="s">
        <v>209</v>
      </c>
      <c r="F3108" s="518">
        <v>425</v>
      </c>
      <c r="G3108" s="274"/>
      <c r="H3108" s="275"/>
    </row>
    <row r="3109" spans="2:8" ht="14.25">
      <c r="B3109" s="129" t="s">
        <v>4082</v>
      </c>
      <c r="C3109" s="368"/>
      <c r="D3109" s="520" t="s">
        <v>3606</v>
      </c>
      <c r="E3109" s="521" t="s">
        <v>309</v>
      </c>
      <c r="F3109" s="518">
        <v>1</v>
      </c>
      <c r="G3109" s="274"/>
      <c r="H3109" s="275"/>
    </row>
    <row r="3110" spans="2:8" ht="14.25">
      <c r="B3110" s="129" t="s">
        <v>4083</v>
      </c>
      <c r="C3110" s="368"/>
      <c r="D3110" s="520" t="s">
        <v>3633</v>
      </c>
      <c r="E3110" s="521" t="s">
        <v>99</v>
      </c>
      <c r="F3110" s="518">
        <v>18</v>
      </c>
      <c r="G3110" s="274"/>
      <c r="H3110" s="275"/>
    </row>
    <row r="3111" spans="2:8" ht="14.25">
      <c r="B3111" s="129" t="s">
        <v>4084</v>
      </c>
      <c r="C3111" s="368"/>
      <c r="D3111" s="520" t="s">
        <v>3635</v>
      </c>
      <c r="E3111" s="521" t="s">
        <v>99</v>
      </c>
      <c r="F3111" s="518">
        <v>28</v>
      </c>
      <c r="G3111" s="274"/>
      <c r="H3111" s="275"/>
    </row>
    <row r="3112" spans="2:8" ht="14.25">
      <c r="B3112" s="129" t="s">
        <v>4085</v>
      </c>
      <c r="C3112" s="368"/>
      <c r="D3112" s="520" t="s">
        <v>3637</v>
      </c>
      <c r="E3112" s="521" t="s">
        <v>99</v>
      </c>
      <c r="F3112" s="518">
        <v>2</v>
      </c>
      <c r="G3112" s="274"/>
      <c r="H3112" s="275"/>
    </row>
    <row r="3113" spans="2:8" ht="14.25">
      <c r="B3113" s="129" t="s">
        <v>4074</v>
      </c>
      <c r="C3113" s="368"/>
      <c r="D3113" s="524" t="s">
        <v>3639</v>
      </c>
      <c r="E3113" s="521"/>
      <c r="F3113" s="518"/>
      <c r="G3113" s="274"/>
      <c r="H3113" s="275"/>
    </row>
    <row r="3114" spans="2:8" ht="14.25">
      <c r="B3114" s="129" t="s">
        <v>4075</v>
      </c>
      <c r="C3114" s="368"/>
      <c r="D3114" s="520" t="s">
        <v>3641</v>
      </c>
      <c r="E3114" s="521" t="s">
        <v>209</v>
      </c>
      <c r="F3114" s="518">
        <v>850</v>
      </c>
      <c r="G3114" s="274"/>
      <c r="H3114" s="275"/>
    </row>
    <row r="3115" spans="2:8" ht="14.25">
      <c r="B3115" s="129" t="s">
        <v>4076</v>
      </c>
      <c r="C3115" s="368"/>
      <c r="D3115" s="520" t="s">
        <v>3643</v>
      </c>
      <c r="E3115" s="521" t="s">
        <v>209</v>
      </c>
      <c r="F3115" s="518">
        <v>138</v>
      </c>
      <c r="G3115" s="274"/>
      <c r="H3115" s="275"/>
    </row>
    <row r="3116" spans="2:8" ht="14.25">
      <c r="B3116" s="129" t="s">
        <v>4077</v>
      </c>
      <c r="C3116" s="368"/>
      <c r="D3116" s="520" t="s">
        <v>3645</v>
      </c>
      <c r="E3116" s="521" t="s">
        <v>209</v>
      </c>
      <c r="F3116" s="518">
        <v>80</v>
      </c>
      <c r="G3116" s="274"/>
      <c r="H3116" s="275"/>
    </row>
    <row r="3117" spans="2:8" ht="14.25">
      <c r="B3117" s="129" t="s">
        <v>4078</v>
      </c>
      <c r="C3117" s="368"/>
      <c r="D3117" s="520" t="s">
        <v>3626</v>
      </c>
      <c r="E3117" s="521" t="s">
        <v>209</v>
      </c>
      <c r="F3117" s="518">
        <v>600</v>
      </c>
      <c r="G3117" s="274"/>
      <c r="H3117" s="275"/>
    </row>
    <row r="3118" spans="2:8" ht="14.25">
      <c r="B3118" s="129" t="s">
        <v>4079</v>
      </c>
      <c r="C3118" s="368"/>
      <c r="D3118" s="520" t="s">
        <v>3751</v>
      </c>
      <c r="E3118" s="521" t="s">
        <v>209</v>
      </c>
      <c r="F3118" s="518">
        <v>120</v>
      </c>
      <c r="G3118" s="274"/>
      <c r="H3118" s="275"/>
    </row>
    <row r="3119" spans="2:8" ht="14.25">
      <c r="B3119" s="129" t="s">
        <v>4080</v>
      </c>
      <c r="C3119" s="368"/>
      <c r="D3119" s="520" t="s">
        <v>3796</v>
      </c>
      <c r="E3119" s="521" t="s">
        <v>209</v>
      </c>
      <c r="F3119" s="518">
        <v>50</v>
      </c>
      <c r="G3119" s="274"/>
      <c r="H3119" s="275"/>
    </row>
    <row r="3120" spans="2:8" ht="14.25">
      <c r="B3120" s="129" t="s">
        <v>4081</v>
      </c>
      <c r="C3120" s="368"/>
      <c r="D3120" s="520" t="s">
        <v>3600</v>
      </c>
      <c r="E3120" s="521" t="s">
        <v>99</v>
      </c>
      <c r="F3120" s="518">
        <v>8</v>
      </c>
      <c r="G3120" s="274"/>
      <c r="H3120" s="275"/>
    </row>
    <row r="3121" spans="2:8" ht="14.25">
      <c r="B3121" s="129" t="s">
        <v>4082</v>
      </c>
      <c r="C3121" s="368"/>
      <c r="D3121" s="520" t="s">
        <v>3604</v>
      </c>
      <c r="E3121" s="521" t="s">
        <v>209</v>
      </c>
      <c r="F3121" s="518">
        <v>300</v>
      </c>
      <c r="G3121" s="274"/>
      <c r="H3121" s="275"/>
    </row>
    <row r="3122" spans="2:8" ht="14.25">
      <c r="B3122" s="129" t="s">
        <v>4083</v>
      </c>
      <c r="C3122" s="368"/>
      <c r="D3122" s="520" t="s">
        <v>3783</v>
      </c>
      <c r="E3122" s="521" t="s">
        <v>209</v>
      </c>
      <c r="F3122" s="518">
        <v>150</v>
      </c>
      <c r="G3122" s="274"/>
      <c r="H3122" s="275"/>
    </row>
    <row r="3123" spans="2:8" ht="25.5">
      <c r="B3123" s="129" t="s">
        <v>4084</v>
      </c>
      <c r="C3123" s="368"/>
      <c r="D3123" s="520" t="s">
        <v>3650</v>
      </c>
      <c r="E3123" s="521" t="s">
        <v>309</v>
      </c>
      <c r="F3123" s="518">
        <v>1</v>
      </c>
      <c r="G3123" s="274"/>
      <c r="H3123" s="275"/>
    </row>
    <row r="3124" spans="2:8" ht="14.25">
      <c r="B3124" s="129" t="s">
        <v>4086</v>
      </c>
      <c r="C3124" s="368"/>
      <c r="D3124" s="524" t="s">
        <v>3652</v>
      </c>
      <c r="E3124" s="521"/>
      <c r="F3124" s="518"/>
      <c r="G3124" s="274"/>
      <c r="H3124" s="275"/>
    </row>
    <row r="3125" spans="2:8" ht="14.25">
      <c r="B3125" s="129" t="s">
        <v>4087</v>
      </c>
      <c r="C3125" s="368"/>
      <c r="D3125" s="520" t="s">
        <v>3654</v>
      </c>
      <c r="E3125" s="521" t="s">
        <v>99</v>
      </c>
      <c r="F3125" s="518">
        <v>50</v>
      </c>
      <c r="G3125" s="274"/>
      <c r="H3125" s="275"/>
    </row>
    <row r="3126" spans="2:8" ht="14.25">
      <c r="B3126" s="129" t="s">
        <v>4088</v>
      </c>
      <c r="C3126" s="368"/>
      <c r="D3126" s="520" t="s">
        <v>3656</v>
      </c>
      <c r="E3126" s="521" t="s">
        <v>99</v>
      </c>
      <c r="F3126" s="518">
        <v>5</v>
      </c>
      <c r="G3126" s="274"/>
      <c r="H3126" s="275"/>
    </row>
    <row r="3127" spans="2:8" ht="14.25">
      <c r="B3127" s="129" t="s">
        <v>4089</v>
      </c>
      <c r="C3127" s="368"/>
      <c r="D3127" s="520" t="s">
        <v>3658</v>
      </c>
      <c r="E3127" s="521" t="s">
        <v>209</v>
      </c>
      <c r="F3127" s="518">
        <v>400</v>
      </c>
      <c r="G3127" s="274"/>
      <c r="H3127" s="275"/>
    </row>
    <row r="3128" spans="2:8" ht="14.25">
      <c r="B3128" s="129" t="s">
        <v>4090</v>
      </c>
      <c r="C3128" s="368"/>
      <c r="D3128" s="520" t="s">
        <v>3660</v>
      </c>
      <c r="E3128" s="521" t="s">
        <v>309</v>
      </c>
      <c r="F3128" s="518">
        <v>1</v>
      </c>
      <c r="G3128" s="274"/>
      <c r="H3128" s="275"/>
    </row>
    <row r="3129" spans="2:8" ht="14.25">
      <c r="B3129" s="129" t="s">
        <v>4091</v>
      </c>
      <c r="C3129" s="368"/>
      <c r="D3129" s="524" t="s">
        <v>3662</v>
      </c>
      <c r="E3129" s="521"/>
      <c r="F3129" s="518"/>
      <c r="G3129" s="274"/>
      <c r="H3129" s="275"/>
    </row>
    <row r="3130" spans="2:8" ht="14.25">
      <c r="B3130" s="129" t="s">
        <v>4092</v>
      </c>
      <c r="C3130" s="368"/>
      <c r="D3130" s="520" t="s">
        <v>3717</v>
      </c>
      <c r="E3130" s="521" t="s">
        <v>209</v>
      </c>
      <c r="F3130" s="518"/>
      <c r="G3130" s="274"/>
      <c r="H3130" s="275"/>
    </row>
    <row r="3131" spans="2:8" ht="14.25">
      <c r="B3131" s="129" t="s">
        <v>4093</v>
      </c>
      <c r="C3131" s="368"/>
      <c r="D3131" s="520" t="s">
        <v>3664</v>
      </c>
      <c r="E3131" s="521" t="s">
        <v>209</v>
      </c>
      <c r="F3131" s="518">
        <v>120</v>
      </c>
      <c r="G3131" s="274"/>
      <c r="H3131" s="275"/>
    </row>
    <row r="3132" spans="2:8" ht="14.25">
      <c r="B3132" s="129"/>
      <c r="C3132" s="368"/>
      <c r="D3132" s="520" t="s">
        <v>3666</v>
      </c>
      <c r="E3132" s="521" t="s">
        <v>309</v>
      </c>
      <c r="F3132" s="518">
        <v>1</v>
      </c>
      <c r="G3132" s="528"/>
      <c r="H3132" s="275"/>
    </row>
    <row r="3133" spans="2:8" ht="29.25">
      <c r="B3133" s="186" t="s">
        <v>4094</v>
      </c>
      <c r="C3133" s="312"/>
      <c r="D3133" s="313" t="s">
        <v>4095</v>
      </c>
      <c r="E3133" s="314"/>
      <c r="F3133" s="283"/>
      <c r="G3133" s="233"/>
      <c r="H3133" s="234"/>
    </row>
    <row r="3134" spans="2:8" ht="25.5">
      <c r="B3134" s="129" t="s">
        <v>4096</v>
      </c>
      <c r="C3134" s="368"/>
      <c r="D3134" s="524" t="s">
        <v>4097</v>
      </c>
      <c r="E3134" s="521"/>
      <c r="F3134" s="518"/>
      <c r="G3134" s="274"/>
      <c r="H3134" s="275"/>
    </row>
    <row r="3135" spans="2:8" ht="14.25">
      <c r="B3135" s="129" t="s">
        <v>4098</v>
      </c>
      <c r="C3135" s="368"/>
      <c r="D3135" s="520" t="s">
        <v>3594</v>
      </c>
      <c r="E3135" s="521" t="s">
        <v>209</v>
      </c>
      <c r="F3135" s="525">
        <v>149</v>
      </c>
      <c r="G3135" s="274"/>
      <c r="H3135" s="275"/>
    </row>
    <row r="3136" spans="2:8" ht="14.25">
      <c r="B3136" s="129" t="s">
        <v>4099</v>
      </c>
      <c r="C3136" s="368"/>
      <c r="D3136" s="520" t="s">
        <v>3596</v>
      </c>
      <c r="E3136" s="521" t="s">
        <v>209</v>
      </c>
      <c r="F3136" s="525">
        <v>252</v>
      </c>
      <c r="G3136" s="274"/>
      <c r="H3136" s="275"/>
    </row>
    <row r="3137" spans="2:8" ht="14.25">
      <c r="B3137" s="129" t="s">
        <v>4100</v>
      </c>
      <c r="C3137" s="368"/>
      <c r="D3137" s="520" t="s">
        <v>3598</v>
      </c>
      <c r="E3137" s="521" t="s">
        <v>99</v>
      </c>
      <c r="F3137" s="518">
        <v>1</v>
      </c>
      <c r="G3137" s="274"/>
      <c r="H3137" s="275"/>
    </row>
    <row r="3138" spans="2:8" ht="14.25">
      <c r="B3138" s="129" t="s">
        <v>4101</v>
      </c>
      <c r="C3138" s="368"/>
      <c r="D3138" s="520" t="s">
        <v>3600</v>
      </c>
      <c r="E3138" s="521" t="s">
        <v>99</v>
      </c>
      <c r="F3138" s="518">
        <v>10</v>
      </c>
      <c r="G3138" s="274"/>
      <c r="H3138" s="275"/>
    </row>
    <row r="3139" spans="2:8" ht="14.25">
      <c r="B3139" s="129" t="s">
        <v>4102</v>
      </c>
      <c r="C3139" s="368"/>
      <c r="D3139" s="520" t="s">
        <v>3604</v>
      </c>
      <c r="E3139" s="521" t="s">
        <v>209</v>
      </c>
      <c r="F3139" s="518">
        <v>63</v>
      </c>
      <c r="G3139" s="274"/>
      <c r="H3139" s="275"/>
    </row>
    <row r="3140" spans="2:8" ht="14.25">
      <c r="B3140" s="129" t="s">
        <v>4103</v>
      </c>
      <c r="C3140" s="368"/>
      <c r="D3140" s="520" t="s">
        <v>4104</v>
      </c>
      <c r="E3140" s="521" t="s">
        <v>99</v>
      </c>
      <c r="F3140" s="525">
        <v>21</v>
      </c>
      <c r="G3140" s="274"/>
      <c r="H3140" s="275"/>
    </row>
    <row r="3141" spans="2:8" ht="14.25">
      <c r="B3141" s="129" t="s">
        <v>4105</v>
      </c>
      <c r="C3141" s="368"/>
      <c r="D3141" s="520" t="s">
        <v>3606</v>
      </c>
      <c r="E3141" s="521" t="s">
        <v>309</v>
      </c>
      <c r="F3141" s="518">
        <v>1</v>
      </c>
      <c r="G3141" s="274"/>
      <c r="H3141" s="275"/>
    </row>
    <row r="3142" spans="2:8" ht="25.5">
      <c r="B3142" s="129" t="s">
        <v>4106</v>
      </c>
      <c r="C3142" s="368"/>
      <c r="D3142" s="524" t="s">
        <v>4107</v>
      </c>
      <c r="E3142" s="521"/>
      <c r="F3142" s="518"/>
      <c r="G3142" s="274"/>
      <c r="H3142" s="275"/>
    </row>
    <row r="3143" spans="2:8" ht="14.25">
      <c r="B3143" s="129" t="s">
        <v>4108</v>
      </c>
      <c r="C3143" s="368"/>
      <c r="D3143" s="520" t="s">
        <v>3622</v>
      </c>
      <c r="E3143" s="521" t="s">
        <v>209</v>
      </c>
      <c r="F3143" s="518">
        <v>144</v>
      </c>
      <c r="G3143" s="274"/>
      <c r="H3143" s="275"/>
    </row>
    <row r="3144" spans="2:8" ht="14.25">
      <c r="B3144" s="129" t="s">
        <v>4109</v>
      </c>
      <c r="C3144" s="368"/>
      <c r="D3144" s="520" t="s">
        <v>3624</v>
      </c>
      <c r="E3144" s="521" t="s">
        <v>209</v>
      </c>
      <c r="F3144" s="518">
        <v>252</v>
      </c>
      <c r="G3144" s="274"/>
      <c r="H3144" s="275"/>
    </row>
    <row r="3145" spans="2:8" ht="14.25">
      <c r="B3145" s="129" t="s">
        <v>4110</v>
      </c>
      <c r="C3145" s="368"/>
      <c r="D3145" s="520" t="s">
        <v>3598</v>
      </c>
      <c r="E3145" s="521" t="s">
        <v>99</v>
      </c>
      <c r="F3145" s="518">
        <v>1</v>
      </c>
      <c r="G3145" s="274"/>
      <c r="H3145" s="275"/>
    </row>
    <row r="3146" spans="2:8" ht="14.25">
      <c r="B3146" s="129" t="s">
        <v>4111</v>
      </c>
      <c r="C3146" s="368"/>
      <c r="D3146" s="520" t="s">
        <v>3600</v>
      </c>
      <c r="E3146" s="521" t="s">
        <v>99</v>
      </c>
      <c r="F3146" s="518">
        <v>10</v>
      </c>
      <c r="G3146" s="274"/>
      <c r="H3146" s="275"/>
    </row>
    <row r="3147" spans="2:8" ht="14.25">
      <c r="B3147" s="129" t="s">
        <v>4112</v>
      </c>
      <c r="C3147" s="368"/>
      <c r="D3147" s="520" t="s">
        <v>3604</v>
      </c>
      <c r="E3147" s="521" t="s">
        <v>209</v>
      </c>
      <c r="F3147" s="518">
        <v>63</v>
      </c>
      <c r="G3147" s="274"/>
      <c r="H3147" s="275"/>
    </row>
    <row r="3148" spans="2:8" ht="14.25">
      <c r="B3148" s="129" t="s">
        <v>4113</v>
      </c>
      <c r="C3148" s="368"/>
      <c r="D3148" s="520" t="s">
        <v>4114</v>
      </c>
      <c r="E3148" s="521" t="s">
        <v>99</v>
      </c>
      <c r="F3148" s="518">
        <v>14</v>
      </c>
      <c r="G3148" s="274"/>
      <c r="H3148" s="275"/>
    </row>
    <row r="3149" spans="2:8" ht="14.25">
      <c r="B3149" s="129" t="s">
        <v>4115</v>
      </c>
      <c r="C3149" s="368"/>
      <c r="D3149" s="520" t="s">
        <v>3606</v>
      </c>
      <c r="E3149" s="521" t="s">
        <v>309</v>
      </c>
      <c r="F3149" s="518">
        <v>1</v>
      </c>
      <c r="G3149" s="274"/>
      <c r="H3149" s="275"/>
    </row>
    <row r="3150" spans="2:8" ht="14.25">
      <c r="B3150" s="129" t="s">
        <v>4116</v>
      </c>
      <c r="C3150" s="368"/>
      <c r="D3150" s="524" t="s">
        <v>4117</v>
      </c>
      <c r="E3150" s="521"/>
      <c r="F3150" s="518"/>
      <c r="G3150" s="274"/>
      <c r="H3150" s="275"/>
    </row>
    <row r="3151" spans="2:8" ht="14.25">
      <c r="B3151" s="129" t="s">
        <v>4118</v>
      </c>
      <c r="C3151" s="368"/>
      <c r="D3151" s="520" t="s">
        <v>4119</v>
      </c>
      <c r="E3151" s="521" t="s">
        <v>209</v>
      </c>
      <c r="F3151" s="518">
        <v>178</v>
      </c>
      <c r="G3151" s="274"/>
      <c r="H3151" s="275"/>
    </row>
    <row r="3152" spans="2:8" ht="14.25">
      <c r="B3152" s="129" t="s">
        <v>4120</v>
      </c>
      <c r="C3152" s="368"/>
      <c r="D3152" s="520" t="s">
        <v>3751</v>
      </c>
      <c r="E3152" s="521" t="s">
        <v>209</v>
      </c>
      <c r="F3152" s="518">
        <v>178</v>
      </c>
      <c r="G3152" s="274"/>
      <c r="H3152" s="275"/>
    </row>
    <row r="3153" spans="2:8" ht="14.25">
      <c r="B3153" s="129" t="s">
        <v>4121</v>
      </c>
      <c r="C3153" s="368"/>
      <c r="D3153" s="520" t="s">
        <v>3600</v>
      </c>
      <c r="E3153" s="521" t="s">
        <v>99</v>
      </c>
      <c r="F3153" s="518">
        <v>10</v>
      </c>
      <c r="G3153" s="274"/>
      <c r="H3153" s="275"/>
    </row>
    <row r="3154" spans="2:8" ht="14.25">
      <c r="B3154" s="129" t="s">
        <v>4122</v>
      </c>
      <c r="C3154" s="368"/>
      <c r="D3154" s="520" t="s">
        <v>3604</v>
      </c>
      <c r="E3154" s="521" t="s">
        <v>209</v>
      </c>
      <c r="F3154" s="518">
        <v>50</v>
      </c>
      <c r="G3154" s="274"/>
      <c r="H3154" s="275"/>
    </row>
    <row r="3155" spans="2:8" ht="25.5">
      <c r="B3155" s="129" t="s">
        <v>4123</v>
      </c>
      <c r="C3155" s="368"/>
      <c r="D3155" s="520" t="s">
        <v>3650</v>
      </c>
      <c r="E3155" s="521" t="s">
        <v>309</v>
      </c>
      <c r="F3155" s="518">
        <v>1</v>
      </c>
      <c r="G3155" s="274"/>
      <c r="H3155" s="275"/>
    </row>
    <row r="3156" spans="2:8" ht="43.5">
      <c r="B3156" s="186" t="s">
        <v>4124</v>
      </c>
      <c r="C3156" s="312"/>
      <c r="D3156" s="313" t="s">
        <v>4125</v>
      </c>
      <c r="E3156" s="314"/>
      <c r="F3156" s="283"/>
      <c r="G3156" s="233"/>
      <c r="H3156" s="234"/>
    </row>
    <row r="3157" spans="2:8" ht="14.25">
      <c r="B3157" s="129" t="s">
        <v>4126</v>
      </c>
      <c r="C3157" s="368"/>
      <c r="D3157" s="395" t="s">
        <v>4127</v>
      </c>
      <c r="E3157" s="189"/>
      <c r="F3157" s="384"/>
      <c r="G3157" s="274"/>
      <c r="H3157" s="275"/>
    </row>
    <row r="3158" spans="2:8" ht="14.25">
      <c r="B3158" s="129" t="s">
        <v>4128</v>
      </c>
      <c r="C3158" s="368"/>
      <c r="D3158" s="520" t="s">
        <v>4129</v>
      </c>
      <c r="E3158" s="521" t="s">
        <v>209</v>
      </c>
      <c r="F3158" s="518">
        <v>170</v>
      </c>
      <c r="G3158" s="274"/>
      <c r="H3158" s="275"/>
    </row>
    <row r="3159" spans="2:8" ht="14.25">
      <c r="B3159" s="129" t="s">
        <v>4130</v>
      </c>
      <c r="C3159" s="368"/>
      <c r="D3159" s="520" t="s">
        <v>4131</v>
      </c>
      <c r="E3159" s="521" t="s">
        <v>209</v>
      </c>
      <c r="F3159" s="518">
        <v>170</v>
      </c>
      <c r="G3159" s="274"/>
      <c r="H3159" s="275"/>
    </row>
    <row r="3160" spans="2:8" ht="14.25">
      <c r="B3160" s="129" t="s">
        <v>4132</v>
      </c>
      <c r="C3160" s="368"/>
      <c r="D3160" s="520" t="s">
        <v>3600</v>
      </c>
      <c r="E3160" s="521" t="s">
        <v>209</v>
      </c>
      <c r="F3160" s="518">
        <v>2</v>
      </c>
      <c r="G3160" s="274"/>
      <c r="H3160" s="275"/>
    </row>
    <row r="3161" spans="2:8" ht="14.25">
      <c r="B3161" s="129" t="s">
        <v>4133</v>
      </c>
      <c r="C3161" s="368"/>
      <c r="D3161" s="520" t="s">
        <v>3604</v>
      </c>
      <c r="E3161" s="521" t="s">
        <v>99</v>
      </c>
      <c r="F3161" s="518">
        <v>42.5</v>
      </c>
      <c r="G3161" s="274"/>
      <c r="H3161" s="275"/>
    </row>
    <row r="3162" spans="2:8" ht="14.25">
      <c r="B3162" s="129" t="s">
        <v>4134</v>
      </c>
      <c r="C3162" s="368"/>
      <c r="D3162" s="520" t="s">
        <v>3606</v>
      </c>
      <c r="E3162" s="521" t="s">
        <v>209</v>
      </c>
      <c r="F3162" s="518">
        <v>1</v>
      </c>
      <c r="G3162" s="274"/>
      <c r="H3162" s="275"/>
    </row>
    <row r="3163" spans="2:8" ht="43.5">
      <c r="B3163" s="186" t="s">
        <v>4135</v>
      </c>
      <c r="C3163" s="312"/>
      <c r="D3163" s="313" t="s">
        <v>4136</v>
      </c>
      <c r="E3163" s="314"/>
      <c r="F3163" s="283"/>
      <c r="G3163" s="233"/>
      <c r="H3163" s="234"/>
    </row>
    <row r="3164" spans="2:8" ht="14.25">
      <c r="B3164" s="129" t="s">
        <v>4137</v>
      </c>
      <c r="C3164" s="368"/>
      <c r="D3164" s="524" t="s">
        <v>3592</v>
      </c>
      <c r="E3164" s="521"/>
      <c r="F3164" s="518"/>
      <c r="G3164" s="274"/>
      <c r="H3164" s="275"/>
    </row>
    <row r="3165" spans="2:8" ht="14.25">
      <c r="B3165" s="129" t="s">
        <v>4138</v>
      </c>
      <c r="C3165" s="368"/>
      <c r="D3165" s="520" t="s">
        <v>3594</v>
      </c>
      <c r="E3165" s="521" t="s">
        <v>209</v>
      </c>
      <c r="F3165" s="525">
        <v>35</v>
      </c>
      <c r="G3165" s="274"/>
      <c r="H3165" s="275"/>
    </row>
    <row r="3166" spans="2:8" ht="14.25">
      <c r="B3166" s="129" t="s">
        <v>4139</v>
      </c>
      <c r="C3166" s="368"/>
      <c r="D3166" s="520" t="s">
        <v>3596</v>
      </c>
      <c r="E3166" s="521" t="s">
        <v>209</v>
      </c>
      <c r="F3166" s="525">
        <v>100.2</v>
      </c>
      <c r="G3166" s="274"/>
      <c r="H3166" s="275"/>
    </row>
    <row r="3167" spans="2:8" ht="14.25">
      <c r="B3167" s="129" t="s">
        <v>4140</v>
      </c>
      <c r="C3167" s="368"/>
      <c r="D3167" s="520" t="s">
        <v>3598</v>
      </c>
      <c r="E3167" s="521" t="s">
        <v>99</v>
      </c>
      <c r="F3167" s="518">
        <v>2</v>
      </c>
      <c r="G3167" s="274"/>
      <c r="H3167" s="275"/>
    </row>
    <row r="3168" spans="2:8" ht="14.25">
      <c r="B3168" s="129" t="s">
        <v>4141</v>
      </c>
      <c r="C3168" s="368"/>
      <c r="D3168" s="520" t="s">
        <v>3600</v>
      </c>
      <c r="E3168" s="521" t="s">
        <v>99</v>
      </c>
      <c r="F3168" s="518">
        <v>10</v>
      </c>
      <c r="G3168" s="274"/>
      <c r="H3168" s="275"/>
    </row>
    <row r="3169" spans="2:8" ht="14.25">
      <c r="B3169" s="129" t="s">
        <v>4142</v>
      </c>
      <c r="C3169" s="368"/>
      <c r="D3169" s="520" t="s">
        <v>3602</v>
      </c>
      <c r="E3169" s="521" t="s">
        <v>99</v>
      </c>
      <c r="F3169" s="518">
        <v>5</v>
      </c>
      <c r="G3169" s="274"/>
      <c r="H3169" s="275"/>
    </row>
    <row r="3170" spans="2:8" ht="14.25">
      <c r="B3170" s="129" t="s">
        <v>4143</v>
      </c>
      <c r="C3170" s="368"/>
      <c r="D3170" s="520" t="s">
        <v>3604</v>
      </c>
      <c r="E3170" s="521" t="s">
        <v>209</v>
      </c>
      <c r="F3170" s="525">
        <v>50.1</v>
      </c>
      <c r="G3170" s="274"/>
      <c r="H3170" s="275"/>
    </row>
    <row r="3171" spans="2:8" ht="14.25">
      <c r="B3171" s="129" t="s">
        <v>4144</v>
      </c>
      <c r="C3171" s="368"/>
      <c r="D3171" s="520" t="s">
        <v>3606</v>
      </c>
      <c r="E3171" s="521" t="s">
        <v>309</v>
      </c>
      <c r="F3171" s="518">
        <v>1</v>
      </c>
      <c r="G3171" s="274"/>
      <c r="H3171" s="275"/>
    </row>
    <row r="3172" spans="2:8" ht="14.25">
      <c r="B3172" s="129" t="s">
        <v>4145</v>
      </c>
      <c r="C3172" s="368"/>
      <c r="D3172" s="520" t="s">
        <v>3608</v>
      </c>
      <c r="E3172" s="521" t="s">
        <v>99</v>
      </c>
      <c r="F3172" s="518">
        <v>5</v>
      </c>
      <c r="G3172" s="274"/>
      <c r="H3172" s="275"/>
    </row>
    <row r="3173" spans="2:8" ht="14.25">
      <c r="B3173" s="129" t="s">
        <v>4146</v>
      </c>
      <c r="C3173" s="368"/>
      <c r="D3173" s="520" t="s">
        <v>3612</v>
      </c>
      <c r="E3173" s="521" t="s">
        <v>99</v>
      </c>
      <c r="F3173" s="518">
        <v>4</v>
      </c>
      <c r="G3173" s="274"/>
      <c r="H3173" s="275"/>
    </row>
    <row r="3174" spans="2:8" ht="14.25">
      <c r="B3174" s="129" t="s">
        <v>4147</v>
      </c>
      <c r="C3174" s="368"/>
      <c r="D3174" s="520" t="s">
        <v>3614</v>
      </c>
      <c r="E3174" s="521" t="s">
        <v>99</v>
      </c>
      <c r="F3174" s="518">
        <v>6</v>
      </c>
      <c r="G3174" s="274"/>
      <c r="H3174" s="275"/>
    </row>
    <row r="3175" spans="2:8" ht="14.25">
      <c r="B3175" s="129" t="s">
        <v>4148</v>
      </c>
      <c r="C3175" s="368"/>
      <c r="D3175" s="520" t="s">
        <v>3616</v>
      </c>
      <c r="E3175" s="521" t="s">
        <v>99</v>
      </c>
      <c r="F3175" s="518">
        <v>2</v>
      </c>
      <c r="G3175" s="274"/>
      <c r="H3175" s="275"/>
    </row>
    <row r="3176" spans="2:8" ht="14.25">
      <c r="B3176" s="129" t="s">
        <v>4149</v>
      </c>
      <c r="C3176" s="368"/>
      <c r="D3176" s="520" t="s">
        <v>3685</v>
      </c>
      <c r="E3176" s="521" t="s">
        <v>99</v>
      </c>
      <c r="F3176" s="518">
        <v>1</v>
      </c>
      <c r="G3176" s="274"/>
      <c r="H3176" s="275"/>
    </row>
    <row r="3177" spans="2:8" ht="14.25">
      <c r="B3177" s="129" t="s">
        <v>4150</v>
      </c>
      <c r="C3177" s="368"/>
      <c r="D3177" s="524" t="s">
        <v>4151</v>
      </c>
      <c r="E3177" s="521"/>
      <c r="F3177" s="518"/>
      <c r="G3177" s="274"/>
      <c r="H3177" s="275"/>
    </row>
    <row r="3178" spans="2:8" ht="14.25">
      <c r="B3178" s="129" t="s">
        <v>4152</v>
      </c>
      <c r="C3178" s="368"/>
      <c r="D3178" s="520" t="s">
        <v>3622</v>
      </c>
      <c r="E3178" s="521" t="s">
        <v>209</v>
      </c>
      <c r="F3178" s="518">
        <v>40</v>
      </c>
      <c r="G3178" s="274"/>
      <c r="H3178" s="275"/>
    </row>
    <row r="3179" spans="2:8" ht="14.25">
      <c r="B3179" s="129" t="s">
        <v>4153</v>
      </c>
      <c r="C3179" s="368"/>
      <c r="D3179" s="520" t="s">
        <v>3624</v>
      </c>
      <c r="E3179" s="521" t="s">
        <v>209</v>
      </c>
      <c r="F3179" s="518">
        <v>240</v>
      </c>
      <c r="G3179" s="274"/>
      <c r="H3179" s="275"/>
    </row>
    <row r="3180" spans="2:8" ht="14.25">
      <c r="B3180" s="129" t="s">
        <v>4154</v>
      </c>
      <c r="C3180" s="368"/>
      <c r="D3180" s="520" t="s">
        <v>3626</v>
      </c>
      <c r="E3180" s="521" t="s">
        <v>209</v>
      </c>
      <c r="F3180" s="518">
        <v>120</v>
      </c>
      <c r="G3180" s="274"/>
      <c r="H3180" s="275"/>
    </row>
    <row r="3181" spans="2:8" ht="14.25">
      <c r="B3181" s="129" t="s">
        <v>4155</v>
      </c>
      <c r="C3181" s="368"/>
      <c r="D3181" s="520" t="s">
        <v>3600</v>
      </c>
      <c r="E3181" s="521" t="s">
        <v>99</v>
      </c>
      <c r="F3181" s="518">
        <v>10</v>
      </c>
      <c r="G3181" s="274"/>
      <c r="H3181" s="275"/>
    </row>
    <row r="3182" spans="2:8" ht="14.25">
      <c r="B3182" s="129" t="s">
        <v>4156</v>
      </c>
      <c r="C3182" s="368"/>
      <c r="D3182" s="520" t="s">
        <v>3602</v>
      </c>
      <c r="E3182" s="521" t="s">
        <v>99</v>
      </c>
      <c r="F3182" s="518">
        <v>5</v>
      </c>
      <c r="G3182" s="274"/>
      <c r="H3182" s="275"/>
    </row>
    <row r="3183" spans="2:8" ht="14.25">
      <c r="B3183" s="129" t="s">
        <v>4157</v>
      </c>
      <c r="C3183" s="368"/>
      <c r="D3183" s="520" t="s">
        <v>3604</v>
      </c>
      <c r="E3183" s="521" t="s">
        <v>209</v>
      </c>
      <c r="F3183" s="518">
        <v>30</v>
      </c>
      <c r="G3183" s="274"/>
      <c r="H3183" s="275"/>
    </row>
    <row r="3184" spans="2:8" ht="14.25">
      <c r="B3184" s="129" t="s">
        <v>4158</v>
      </c>
      <c r="C3184" s="368"/>
      <c r="D3184" s="520" t="s">
        <v>3606</v>
      </c>
      <c r="E3184" s="521" t="s">
        <v>309</v>
      </c>
      <c r="F3184" s="518">
        <v>1</v>
      </c>
      <c r="G3184" s="274"/>
      <c r="H3184" s="275"/>
    </row>
    <row r="3185" spans="2:8" ht="14.25">
      <c r="B3185" s="129" t="s">
        <v>4159</v>
      </c>
      <c r="C3185" s="368"/>
      <c r="D3185" s="520" t="s">
        <v>3633</v>
      </c>
      <c r="E3185" s="521" t="s">
        <v>99</v>
      </c>
      <c r="F3185" s="518">
        <v>11</v>
      </c>
      <c r="G3185" s="274"/>
      <c r="H3185" s="275"/>
    </row>
    <row r="3186" spans="2:8" ht="14.25">
      <c r="B3186" s="129" t="s">
        <v>4160</v>
      </c>
      <c r="C3186" s="368"/>
      <c r="D3186" s="520" t="s">
        <v>3635</v>
      </c>
      <c r="E3186" s="521" t="s">
        <v>99</v>
      </c>
      <c r="F3186" s="518">
        <v>1</v>
      </c>
      <c r="G3186" s="274"/>
      <c r="H3186" s="275"/>
    </row>
    <row r="3187" spans="2:8" ht="25.5">
      <c r="B3187" s="129" t="s">
        <v>4161</v>
      </c>
      <c r="C3187" s="368"/>
      <c r="D3187" s="524" t="s">
        <v>4162</v>
      </c>
      <c r="E3187" s="521"/>
      <c r="F3187" s="518"/>
      <c r="G3187" s="274"/>
      <c r="H3187" s="275"/>
    </row>
    <row r="3188" spans="2:8" ht="14.25">
      <c r="B3188" s="129" t="s">
        <v>4163</v>
      </c>
      <c r="C3188" s="368"/>
      <c r="D3188" s="520" t="s">
        <v>3641</v>
      </c>
      <c r="E3188" s="521" t="s">
        <v>209</v>
      </c>
      <c r="F3188" s="518">
        <v>100</v>
      </c>
      <c r="G3188" s="274"/>
      <c r="H3188" s="275"/>
    </row>
    <row r="3189" spans="2:8" ht="14.25">
      <c r="B3189" s="129" t="s">
        <v>4164</v>
      </c>
      <c r="C3189" s="368"/>
      <c r="D3189" s="520" t="s">
        <v>4119</v>
      </c>
      <c r="E3189" s="521" t="s">
        <v>209</v>
      </c>
      <c r="F3189" s="518">
        <v>1100</v>
      </c>
      <c r="G3189" s="274"/>
      <c r="H3189" s="275"/>
    </row>
    <row r="3190" spans="2:8" ht="14.25">
      <c r="B3190" s="129" t="s">
        <v>4165</v>
      </c>
      <c r="C3190" s="368"/>
      <c r="D3190" s="520" t="s">
        <v>4166</v>
      </c>
      <c r="E3190" s="521" t="s">
        <v>209</v>
      </c>
      <c r="F3190" s="518">
        <v>70</v>
      </c>
      <c r="G3190" s="274"/>
      <c r="H3190" s="275"/>
    </row>
    <row r="3191" spans="2:8" ht="14.25">
      <c r="B3191" s="129" t="s">
        <v>4167</v>
      </c>
      <c r="C3191" s="368"/>
      <c r="D3191" s="520" t="s">
        <v>4168</v>
      </c>
      <c r="E3191" s="521" t="s">
        <v>209</v>
      </c>
      <c r="F3191" s="518">
        <v>100</v>
      </c>
      <c r="G3191" s="274"/>
      <c r="H3191" s="275"/>
    </row>
    <row r="3192" spans="2:8" ht="14.25">
      <c r="B3192" s="129" t="s">
        <v>4169</v>
      </c>
      <c r="C3192" s="368"/>
      <c r="D3192" s="520" t="s">
        <v>3751</v>
      </c>
      <c r="E3192" s="521" t="s">
        <v>209</v>
      </c>
      <c r="F3192" s="518">
        <v>1240</v>
      </c>
      <c r="G3192" s="274"/>
      <c r="H3192" s="275"/>
    </row>
    <row r="3193" spans="2:8" ht="14.25">
      <c r="B3193" s="129" t="s">
        <v>4170</v>
      </c>
      <c r="C3193" s="368"/>
      <c r="D3193" s="520" t="s">
        <v>3604</v>
      </c>
      <c r="E3193" s="521" t="s">
        <v>209</v>
      </c>
      <c r="F3193" s="518">
        <v>137.5</v>
      </c>
      <c r="G3193" s="274"/>
      <c r="H3193" s="275"/>
    </row>
    <row r="3194" spans="2:8" ht="14.25">
      <c r="B3194" s="129" t="s">
        <v>4171</v>
      </c>
      <c r="C3194" s="368"/>
      <c r="D3194" s="520" t="s">
        <v>3606</v>
      </c>
      <c r="E3194" s="521" t="s">
        <v>309</v>
      </c>
      <c r="F3194" s="518">
        <v>1</v>
      </c>
      <c r="G3194" s="274"/>
      <c r="H3194" s="275"/>
    </row>
    <row r="3195" spans="2:8" ht="14.25">
      <c r="B3195" s="129" t="s">
        <v>4172</v>
      </c>
      <c r="C3195" s="368"/>
      <c r="D3195" s="524" t="s">
        <v>3652</v>
      </c>
      <c r="E3195" s="521"/>
      <c r="F3195" s="518"/>
      <c r="G3195" s="274"/>
      <c r="H3195" s="275"/>
    </row>
    <row r="3196" spans="2:8" ht="14.25">
      <c r="B3196" s="129" t="s">
        <v>4173</v>
      </c>
      <c r="C3196" s="368"/>
      <c r="D3196" s="520" t="s">
        <v>3654</v>
      </c>
      <c r="E3196" s="521" t="s">
        <v>99</v>
      </c>
      <c r="F3196" s="518">
        <v>20</v>
      </c>
      <c r="G3196" s="274"/>
      <c r="H3196" s="275"/>
    </row>
    <row r="3197" spans="2:8" ht="14.25">
      <c r="B3197" s="129" t="s">
        <v>4174</v>
      </c>
      <c r="C3197" s="368"/>
      <c r="D3197" s="520" t="s">
        <v>3656</v>
      </c>
      <c r="E3197" s="521" t="s">
        <v>99</v>
      </c>
      <c r="F3197" s="518">
        <v>5</v>
      </c>
      <c r="G3197" s="274"/>
      <c r="H3197" s="275"/>
    </row>
    <row r="3198" spans="2:8" ht="14.25">
      <c r="B3198" s="129" t="s">
        <v>4175</v>
      </c>
      <c r="C3198" s="368"/>
      <c r="D3198" s="520" t="s">
        <v>3658</v>
      </c>
      <c r="E3198" s="521" t="s">
        <v>209</v>
      </c>
      <c r="F3198" s="518">
        <v>100</v>
      </c>
      <c r="G3198" s="274"/>
      <c r="H3198" s="275"/>
    </row>
    <row r="3199" spans="2:8" ht="14.25">
      <c r="B3199" s="129" t="s">
        <v>4176</v>
      </c>
      <c r="C3199" s="368"/>
      <c r="D3199" s="520" t="s">
        <v>3660</v>
      </c>
      <c r="E3199" s="521" t="s">
        <v>309</v>
      </c>
      <c r="F3199" s="518">
        <v>1</v>
      </c>
      <c r="G3199" s="274"/>
      <c r="H3199" s="275"/>
    </row>
    <row r="3200" spans="2:8" ht="29.25">
      <c r="B3200" s="186" t="s">
        <v>4177</v>
      </c>
      <c r="C3200" s="312"/>
      <c r="D3200" s="313" t="s">
        <v>4178</v>
      </c>
      <c r="E3200" s="314"/>
      <c r="F3200" s="283"/>
      <c r="G3200" s="233"/>
      <c r="H3200" s="234"/>
    </row>
    <row r="3201" spans="2:8" ht="14.25">
      <c r="B3201" s="129" t="s">
        <v>4179</v>
      </c>
      <c r="C3201" s="368"/>
      <c r="D3201" s="524" t="s">
        <v>3592</v>
      </c>
      <c r="E3201" s="521"/>
      <c r="F3201" s="518"/>
      <c r="G3201" s="274"/>
      <c r="H3201" s="275"/>
    </row>
    <row r="3202" spans="2:8" ht="14.25">
      <c r="B3202" s="129" t="s">
        <v>4180</v>
      </c>
      <c r="C3202" s="368"/>
      <c r="D3202" s="520" t="s">
        <v>3594</v>
      </c>
      <c r="E3202" s="521" t="s">
        <v>209</v>
      </c>
      <c r="F3202" s="525">
        <v>980</v>
      </c>
      <c r="G3202" s="274"/>
      <c r="H3202" s="275"/>
    </row>
    <row r="3203" spans="2:8" ht="14.25">
      <c r="B3203" s="129" t="s">
        <v>4181</v>
      </c>
      <c r="C3203" s="368"/>
      <c r="D3203" s="520" t="s">
        <v>3596</v>
      </c>
      <c r="E3203" s="521" t="s">
        <v>209</v>
      </c>
      <c r="F3203" s="525">
        <v>2660</v>
      </c>
      <c r="G3203" s="274"/>
      <c r="H3203" s="275"/>
    </row>
    <row r="3204" spans="2:8" ht="14.25">
      <c r="B3204" s="129" t="s">
        <v>4182</v>
      </c>
      <c r="C3204" s="368"/>
      <c r="D3204" s="520" t="s">
        <v>3598</v>
      </c>
      <c r="E3204" s="521" t="s">
        <v>99</v>
      </c>
      <c r="F3204" s="518">
        <v>30</v>
      </c>
      <c r="G3204" s="274"/>
      <c r="H3204" s="275"/>
    </row>
    <row r="3205" spans="2:8" ht="14.25">
      <c r="B3205" s="129" t="s">
        <v>4183</v>
      </c>
      <c r="C3205" s="368"/>
      <c r="D3205" s="520" t="s">
        <v>3600</v>
      </c>
      <c r="E3205" s="521" t="s">
        <v>99</v>
      </c>
      <c r="F3205" s="518">
        <v>191</v>
      </c>
      <c r="G3205" s="274"/>
      <c r="H3205" s="275"/>
    </row>
    <row r="3206" spans="2:8" ht="14.25">
      <c r="B3206" s="129" t="s">
        <v>4184</v>
      </c>
      <c r="C3206" s="368"/>
      <c r="D3206" s="520" t="s">
        <v>3602</v>
      </c>
      <c r="E3206" s="521" t="s">
        <v>99</v>
      </c>
      <c r="F3206" s="518">
        <v>15</v>
      </c>
      <c r="G3206" s="274"/>
      <c r="H3206" s="275"/>
    </row>
    <row r="3207" spans="2:8" ht="14.25">
      <c r="B3207" s="129" t="s">
        <v>4185</v>
      </c>
      <c r="C3207" s="368"/>
      <c r="D3207" s="520" t="s">
        <v>3604</v>
      </c>
      <c r="E3207" s="521" t="s">
        <v>209</v>
      </c>
      <c r="F3207" s="525">
        <v>1330</v>
      </c>
      <c r="G3207" s="274"/>
      <c r="H3207" s="275"/>
    </row>
    <row r="3208" spans="2:8" ht="14.25">
      <c r="B3208" s="129" t="s">
        <v>4186</v>
      </c>
      <c r="C3208" s="368"/>
      <c r="D3208" s="520" t="s">
        <v>3606</v>
      </c>
      <c r="E3208" s="521" t="s">
        <v>309</v>
      </c>
      <c r="F3208" s="518">
        <v>1</v>
      </c>
      <c r="G3208" s="274"/>
      <c r="H3208" s="275"/>
    </row>
    <row r="3209" spans="2:8" ht="14.25">
      <c r="B3209" s="129" t="s">
        <v>4187</v>
      </c>
      <c r="C3209" s="368"/>
      <c r="D3209" s="520" t="s">
        <v>3608</v>
      </c>
      <c r="E3209" s="521" t="s">
        <v>99</v>
      </c>
      <c r="F3209" s="518">
        <v>15</v>
      </c>
      <c r="G3209" s="274"/>
      <c r="H3209" s="275"/>
    </row>
    <row r="3210" spans="2:8" ht="14.25">
      <c r="B3210" s="129" t="s">
        <v>4188</v>
      </c>
      <c r="C3210" s="368"/>
      <c r="D3210" s="520" t="s">
        <v>3610</v>
      </c>
      <c r="E3210" s="521" t="s">
        <v>99</v>
      </c>
      <c r="F3210" s="518">
        <v>10</v>
      </c>
      <c r="G3210" s="274"/>
      <c r="H3210" s="275"/>
    </row>
    <row r="3211" spans="2:8" ht="14.25">
      <c r="B3211" s="129" t="s">
        <v>4189</v>
      </c>
      <c r="C3211" s="368"/>
      <c r="D3211" s="520" t="s">
        <v>3612</v>
      </c>
      <c r="E3211" s="521" t="s">
        <v>99</v>
      </c>
      <c r="F3211" s="518">
        <v>8</v>
      </c>
      <c r="G3211" s="274"/>
      <c r="H3211" s="275"/>
    </row>
    <row r="3212" spans="2:8" ht="14.25">
      <c r="B3212" s="129" t="s">
        <v>4190</v>
      </c>
      <c r="C3212" s="368"/>
      <c r="D3212" s="520" t="s">
        <v>3614</v>
      </c>
      <c r="E3212" s="521" t="s">
        <v>99</v>
      </c>
      <c r="F3212" s="518">
        <v>40</v>
      </c>
      <c r="G3212" s="274"/>
      <c r="H3212" s="275"/>
    </row>
    <row r="3213" spans="2:8" ht="14.25">
      <c r="B3213" s="129" t="s">
        <v>4191</v>
      </c>
      <c r="C3213" s="368"/>
      <c r="D3213" s="520" t="s">
        <v>3616</v>
      </c>
      <c r="E3213" s="521" t="s">
        <v>99</v>
      </c>
      <c r="F3213" s="518">
        <v>7</v>
      </c>
      <c r="G3213" s="274"/>
      <c r="H3213" s="275"/>
    </row>
    <row r="3214" spans="2:8" ht="14.25">
      <c r="B3214" s="129" t="s">
        <v>4192</v>
      </c>
      <c r="C3214" s="368"/>
      <c r="D3214" s="520" t="s">
        <v>3685</v>
      </c>
      <c r="E3214" s="521" t="s">
        <v>99</v>
      </c>
      <c r="F3214" s="518">
        <v>6</v>
      </c>
      <c r="G3214" s="274"/>
      <c r="H3214" s="275"/>
    </row>
    <row r="3215" spans="2:8" ht="14.25">
      <c r="B3215" s="129" t="s">
        <v>4193</v>
      </c>
      <c r="C3215" s="368"/>
      <c r="D3215" s="520" t="s">
        <v>3618</v>
      </c>
      <c r="E3215" s="521" t="s">
        <v>99</v>
      </c>
      <c r="F3215" s="518">
        <v>75</v>
      </c>
      <c r="G3215" s="274"/>
      <c r="H3215" s="275"/>
    </row>
    <row r="3216" spans="2:8" ht="14.25">
      <c r="B3216" s="129" t="s">
        <v>4194</v>
      </c>
      <c r="C3216" s="368"/>
      <c r="D3216" s="520" t="s">
        <v>4195</v>
      </c>
      <c r="E3216" s="521" t="s">
        <v>99</v>
      </c>
      <c r="F3216" s="518">
        <v>56</v>
      </c>
      <c r="G3216" s="274"/>
      <c r="H3216" s="275"/>
    </row>
    <row r="3217" spans="2:8" ht="14.25">
      <c r="B3217" s="129"/>
      <c r="C3217" s="368"/>
      <c r="D3217" s="520" t="s">
        <v>4196</v>
      </c>
      <c r="E3217" s="521" t="s">
        <v>99</v>
      </c>
      <c r="F3217" s="518">
        <v>6</v>
      </c>
      <c r="G3217" s="274"/>
      <c r="H3217" s="275"/>
    </row>
    <row r="3218" spans="2:8" ht="14.25">
      <c r="B3218" s="129"/>
      <c r="C3218" s="368"/>
      <c r="D3218" s="520" t="s">
        <v>4197</v>
      </c>
      <c r="E3218" s="521" t="s">
        <v>99</v>
      </c>
      <c r="F3218" s="518">
        <v>14</v>
      </c>
      <c r="G3218" s="274"/>
      <c r="H3218" s="275"/>
    </row>
    <row r="3219" spans="2:8" ht="14.25">
      <c r="B3219" s="129" t="s">
        <v>4198</v>
      </c>
      <c r="C3219" s="368"/>
      <c r="D3219" s="524" t="s">
        <v>3620</v>
      </c>
      <c r="E3219" s="521"/>
      <c r="F3219" s="518"/>
      <c r="G3219" s="274"/>
      <c r="H3219" s="275"/>
    </row>
    <row r="3220" spans="2:8" ht="14.25">
      <c r="B3220" s="129" t="s">
        <v>4199</v>
      </c>
      <c r="C3220" s="368"/>
      <c r="D3220" s="520" t="s">
        <v>3622</v>
      </c>
      <c r="E3220" s="521" t="s">
        <v>209</v>
      </c>
      <c r="F3220" s="518">
        <v>1200</v>
      </c>
      <c r="G3220" s="274"/>
      <c r="H3220" s="275"/>
    </row>
    <row r="3221" spans="2:8" ht="14.25">
      <c r="B3221" s="129" t="s">
        <v>4200</v>
      </c>
      <c r="C3221" s="368"/>
      <c r="D3221" s="520" t="s">
        <v>3624</v>
      </c>
      <c r="E3221" s="521" t="s">
        <v>209</v>
      </c>
      <c r="F3221" s="518">
        <v>1780</v>
      </c>
      <c r="G3221" s="274"/>
      <c r="H3221" s="275"/>
    </row>
    <row r="3222" spans="2:8" ht="14.25">
      <c r="B3222" s="129" t="s">
        <v>4201</v>
      </c>
      <c r="C3222" s="368"/>
      <c r="D3222" s="520" t="s">
        <v>3626</v>
      </c>
      <c r="E3222" s="521" t="s">
        <v>209</v>
      </c>
      <c r="F3222" s="518">
        <v>890</v>
      </c>
      <c r="G3222" s="274"/>
      <c r="H3222" s="275"/>
    </row>
    <row r="3223" spans="2:8" ht="14.25">
      <c r="B3223" s="129" t="s">
        <v>4202</v>
      </c>
      <c r="C3223" s="368"/>
      <c r="D3223" s="520" t="s">
        <v>3598</v>
      </c>
      <c r="E3223" s="521" t="s">
        <v>99</v>
      </c>
      <c r="F3223" s="518">
        <v>25</v>
      </c>
      <c r="G3223" s="274"/>
      <c r="H3223" s="275"/>
    </row>
    <row r="3224" spans="2:8" ht="14.25">
      <c r="B3224" s="129" t="s">
        <v>4203</v>
      </c>
      <c r="C3224" s="368"/>
      <c r="D3224" s="520" t="s">
        <v>3600</v>
      </c>
      <c r="E3224" s="521" t="s">
        <v>99</v>
      </c>
      <c r="F3224" s="518">
        <v>25</v>
      </c>
      <c r="G3224" s="274"/>
      <c r="H3224" s="275"/>
    </row>
    <row r="3225" spans="2:8" ht="14.25">
      <c r="B3225" s="129" t="s">
        <v>4204</v>
      </c>
      <c r="C3225" s="368"/>
      <c r="D3225" s="520" t="s">
        <v>3602</v>
      </c>
      <c r="E3225" s="521" t="s">
        <v>99</v>
      </c>
      <c r="F3225" s="529">
        <v>20</v>
      </c>
      <c r="G3225" s="274"/>
      <c r="H3225" s="275"/>
    </row>
    <row r="3226" spans="2:8" ht="14.25">
      <c r="B3226" s="129" t="s">
        <v>4205</v>
      </c>
      <c r="C3226" s="368"/>
      <c r="D3226" s="520" t="s">
        <v>3604</v>
      </c>
      <c r="E3226" s="521" t="s">
        <v>209</v>
      </c>
      <c r="F3226" s="518">
        <v>890</v>
      </c>
      <c r="G3226" s="274"/>
      <c r="H3226" s="275"/>
    </row>
    <row r="3227" spans="2:8" ht="14.25">
      <c r="B3227" s="129" t="s">
        <v>4206</v>
      </c>
      <c r="C3227" s="368"/>
      <c r="D3227" s="520" t="s">
        <v>3606</v>
      </c>
      <c r="E3227" s="521" t="s">
        <v>309</v>
      </c>
      <c r="F3227" s="518">
        <v>1</v>
      </c>
      <c r="G3227" s="274"/>
      <c r="H3227" s="275"/>
    </row>
    <row r="3228" spans="2:8" ht="14.25">
      <c r="B3228" s="129" t="s">
        <v>4207</v>
      </c>
      <c r="C3228" s="368"/>
      <c r="D3228" s="520" t="s">
        <v>3633</v>
      </c>
      <c r="E3228" s="521" t="s">
        <v>99</v>
      </c>
      <c r="F3228" s="518">
        <v>14</v>
      </c>
      <c r="G3228" s="274"/>
      <c r="H3228" s="275"/>
    </row>
    <row r="3229" spans="2:8" ht="14.25">
      <c r="B3229" s="129" t="s">
        <v>4208</v>
      </c>
      <c r="C3229" s="368"/>
      <c r="D3229" s="520" t="s">
        <v>3635</v>
      </c>
      <c r="E3229" s="521" t="s">
        <v>99</v>
      </c>
      <c r="F3229" s="518">
        <v>5</v>
      </c>
      <c r="G3229" s="274"/>
      <c r="H3229" s="275"/>
    </row>
    <row r="3230" spans="2:8" ht="14.25">
      <c r="B3230" s="129" t="s">
        <v>4209</v>
      </c>
      <c r="C3230" s="368"/>
      <c r="D3230" s="524" t="s">
        <v>3639</v>
      </c>
      <c r="E3230" s="521"/>
      <c r="F3230" s="518"/>
      <c r="G3230" s="274"/>
      <c r="H3230" s="275"/>
    </row>
    <row r="3231" spans="2:8" ht="14.25">
      <c r="B3231" s="129" t="s">
        <v>4210</v>
      </c>
      <c r="C3231" s="368"/>
      <c r="D3231" s="520" t="s">
        <v>3641</v>
      </c>
      <c r="E3231" s="521" t="s">
        <v>209</v>
      </c>
      <c r="F3231" s="518">
        <v>1780</v>
      </c>
      <c r="G3231" s="274"/>
      <c r="H3231" s="275"/>
    </row>
    <row r="3232" spans="2:8" ht="14.25">
      <c r="B3232" s="129" t="s">
        <v>4211</v>
      </c>
      <c r="C3232" s="368"/>
      <c r="D3232" s="520" t="s">
        <v>3643</v>
      </c>
      <c r="E3232" s="521" t="s">
        <v>209</v>
      </c>
      <c r="F3232" s="518">
        <v>360</v>
      </c>
      <c r="G3232" s="274"/>
      <c r="H3232" s="275"/>
    </row>
    <row r="3233" spans="2:8" ht="14.25">
      <c r="B3233" s="129" t="s">
        <v>4212</v>
      </c>
      <c r="C3233" s="368"/>
      <c r="D3233" s="520" t="s">
        <v>3645</v>
      </c>
      <c r="E3233" s="521" t="s">
        <v>209</v>
      </c>
      <c r="F3233" s="518">
        <v>180</v>
      </c>
      <c r="G3233" s="274"/>
      <c r="H3233" s="275"/>
    </row>
    <row r="3234" spans="2:8" ht="14.25">
      <c r="B3234" s="129" t="s">
        <v>4213</v>
      </c>
      <c r="C3234" s="368"/>
      <c r="D3234" s="520" t="s">
        <v>3626</v>
      </c>
      <c r="E3234" s="521" t="s">
        <v>209</v>
      </c>
      <c r="F3234" s="518">
        <v>1350</v>
      </c>
      <c r="G3234" s="274"/>
      <c r="H3234" s="275"/>
    </row>
    <row r="3235" spans="2:8" ht="14.25">
      <c r="B3235" s="129" t="s">
        <v>4214</v>
      </c>
      <c r="C3235" s="368"/>
      <c r="D3235" s="520" t="s">
        <v>3751</v>
      </c>
      <c r="E3235" s="521" t="s">
        <v>209</v>
      </c>
      <c r="F3235" s="518">
        <v>300</v>
      </c>
      <c r="G3235" s="274"/>
      <c r="H3235" s="275"/>
    </row>
    <row r="3236" spans="2:8" ht="14.25">
      <c r="B3236" s="129" t="s">
        <v>4215</v>
      </c>
      <c r="C3236" s="368"/>
      <c r="D3236" s="520" t="s">
        <v>3796</v>
      </c>
      <c r="E3236" s="521" t="s">
        <v>209</v>
      </c>
      <c r="F3236" s="518">
        <v>130</v>
      </c>
      <c r="G3236" s="274"/>
      <c r="H3236" s="275"/>
    </row>
    <row r="3237" spans="2:8" ht="14.25">
      <c r="B3237" s="129" t="s">
        <v>4216</v>
      </c>
      <c r="C3237" s="368"/>
      <c r="D3237" s="520" t="s">
        <v>3600</v>
      </c>
      <c r="E3237" s="521" t="s">
        <v>99</v>
      </c>
      <c r="F3237" s="518">
        <v>50</v>
      </c>
      <c r="G3237" s="274"/>
      <c r="H3237" s="275"/>
    </row>
    <row r="3238" spans="2:8" ht="14.25">
      <c r="B3238" s="129" t="s">
        <v>4217</v>
      </c>
      <c r="C3238" s="368"/>
      <c r="D3238" s="520" t="s">
        <v>3604</v>
      </c>
      <c r="E3238" s="521" t="s">
        <v>209</v>
      </c>
      <c r="F3238" s="518">
        <v>890</v>
      </c>
      <c r="G3238" s="274"/>
      <c r="H3238" s="275"/>
    </row>
    <row r="3239" spans="2:8" ht="14.25">
      <c r="B3239" s="129" t="s">
        <v>4218</v>
      </c>
      <c r="C3239" s="368"/>
      <c r="D3239" s="520" t="s">
        <v>3783</v>
      </c>
      <c r="E3239" s="521" t="s">
        <v>209</v>
      </c>
      <c r="F3239" s="518">
        <v>675</v>
      </c>
      <c r="G3239" s="274"/>
      <c r="H3239" s="275"/>
    </row>
    <row r="3240" spans="2:8" ht="25.5">
      <c r="B3240" s="129" t="s">
        <v>4219</v>
      </c>
      <c r="C3240" s="368"/>
      <c r="D3240" s="520" t="s">
        <v>3650</v>
      </c>
      <c r="E3240" s="521" t="s">
        <v>309</v>
      </c>
      <c r="F3240" s="518">
        <v>1</v>
      </c>
      <c r="G3240" s="274"/>
      <c r="H3240" s="275"/>
    </row>
    <row r="3241" spans="2:8" ht="14.25">
      <c r="B3241" s="129" t="s">
        <v>4220</v>
      </c>
      <c r="C3241" s="368"/>
      <c r="D3241" s="524" t="s">
        <v>3652</v>
      </c>
      <c r="E3241" s="521"/>
      <c r="F3241" s="518"/>
      <c r="G3241" s="274"/>
      <c r="H3241" s="275"/>
    </row>
    <row r="3242" spans="2:8" ht="14.25">
      <c r="B3242" s="129" t="s">
        <v>4221</v>
      </c>
      <c r="C3242" s="368"/>
      <c r="D3242" s="520" t="s">
        <v>3654</v>
      </c>
      <c r="E3242" s="521" t="s">
        <v>99</v>
      </c>
      <c r="F3242" s="518">
        <v>20</v>
      </c>
      <c r="G3242" s="274"/>
      <c r="H3242" s="275"/>
    </row>
    <row r="3243" spans="2:8" ht="14.25">
      <c r="B3243" s="129" t="s">
        <v>4222</v>
      </c>
      <c r="C3243" s="368"/>
      <c r="D3243" s="520" t="s">
        <v>3656</v>
      </c>
      <c r="E3243" s="521" t="s">
        <v>99</v>
      </c>
      <c r="F3243" s="518">
        <v>5</v>
      </c>
      <c r="G3243" s="274"/>
      <c r="H3243" s="275"/>
    </row>
    <row r="3244" spans="2:8" ht="14.25">
      <c r="B3244" s="129" t="s">
        <v>4223</v>
      </c>
      <c r="C3244" s="368"/>
      <c r="D3244" s="520" t="s">
        <v>3658</v>
      </c>
      <c r="E3244" s="521" t="s">
        <v>209</v>
      </c>
      <c r="F3244" s="518">
        <v>100</v>
      </c>
      <c r="G3244" s="274"/>
      <c r="H3244" s="275"/>
    </row>
    <row r="3245" spans="2:8" ht="14.25">
      <c r="B3245" s="129" t="s">
        <v>4224</v>
      </c>
      <c r="C3245" s="368"/>
      <c r="D3245" s="520" t="s">
        <v>3660</v>
      </c>
      <c r="E3245" s="521" t="s">
        <v>309</v>
      </c>
      <c r="F3245" s="518">
        <v>1</v>
      </c>
      <c r="G3245" s="274"/>
      <c r="H3245" s="275"/>
    </row>
    <row r="3246" spans="2:8" ht="14.25">
      <c r="B3246" s="129" t="s">
        <v>4225</v>
      </c>
      <c r="C3246" s="368"/>
      <c r="D3246" s="524" t="s">
        <v>3662</v>
      </c>
      <c r="E3246" s="521"/>
      <c r="F3246" s="518"/>
      <c r="G3246" s="274"/>
      <c r="H3246" s="275"/>
    </row>
    <row r="3247" spans="2:8" ht="14.25">
      <c r="B3247" s="129" t="s">
        <v>4226</v>
      </c>
      <c r="C3247" s="368"/>
      <c r="D3247" s="520" t="s">
        <v>3717</v>
      </c>
      <c r="E3247" s="521" t="s">
        <v>209</v>
      </c>
      <c r="F3247" s="518">
        <v>40</v>
      </c>
      <c r="G3247" s="274"/>
      <c r="H3247" s="275"/>
    </row>
    <row r="3248" spans="2:8" ht="14.25">
      <c r="B3248" s="129" t="s">
        <v>4227</v>
      </c>
      <c r="C3248" s="368"/>
      <c r="D3248" s="520" t="s">
        <v>3664</v>
      </c>
      <c r="E3248" s="521" t="s">
        <v>209</v>
      </c>
      <c r="F3248" s="518">
        <v>130</v>
      </c>
      <c r="G3248" s="274"/>
      <c r="H3248" s="275"/>
    </row>
    <row r="3249" spans="2:8" ht="14.25">
      <c r="B3249" s="129" t="s">
        <v>4228</v>
      </c>
      <c r="C3249" s="368"/>
      <c r="D3249" s="520" t="s">
        <v>3666</v>
      </c>
      <c r="E3249" s="521" t="s">
        <v>309</v>
      </c>
      <c r="F3249" s="518">
        <v>1</v>
      </c>
      <c r="G3249" s="274"/>
      <c r="H3249" s="275"/>
    </row>
    <row r="3250" spans="2:8" ht="43.5">
      <c r="B3250" s="186" t="s">
        <v>4229</v>
      </c>
      <c r="C3250" s="312"/>
      <c r="D3250" s="313" t="s">
        <v>4230</v>
      </c>
      <c r="E3250" s="314"/>
      <c r="F3250" s="283"/>
      <c r="G3250" s="233"/>
      <c r="H3250" s="234"/>
    </row>
    <row r="3251" spans="2:8" ht="14.25">
      <c r="B3251" s="129" t="s">
        <v>4231</v>
      </c>
      <c r="C3251" s="368"/>
      <c r="D3251" s="395" t="s">
        <v>3592</v>
      </c>
      <c r="E3251" s="189"/>
      <c r="F3251" s="384"/>
      <c r="G3251" s="274"/>
      <c r="H3251" s="275"/>
    </row>
    <row r="3252" spans="2:8" ht="14.25">
      <c r="B3252" s="183" t="s">
        <v>4232</v>
      </c>
      <c r="C3252" s="519"/>
      <c r="D3252" s="520" t="s">
        <v>3594</v>
      </c>
      <c r="E3252" s="521" t="s">
        <v>209</v>
      </c>
      <c r="F3252" s="525">
        <v>1020</v>
      </c>
      <c r="G3252" s="274"/>
      <c r="H3252" s="275"/>
    </row>
    <row r="3253" spans="2:8" ht="14.25">
      <c r="B3253" s="183" t="s">
        <v>4233</v>
      </c>
      <c r="C3253" s="519"/>
      <c r="D3253" s="520" t="s">
        <v>3596</v>
      </c>
      <c r="E3253" s="521" t="s">
        <v>209</v>
      </c>
      <c r="F3253" s="525">
        <v>2450</v>
      </c>
      <c r="G3253" s="274"/>
      <c r="H3253" s="275"/>
    </row>
    <row r="3254" spans="2:8" ht="14.25">
      <c r="B3254" s="183" t="s">
        <v>4234</v>
      </c>
      <c r="C3254" s="519"/>
      <c r="D3254" s="520" t="s">
        <v>3598</v>
      </c>
      <c r="E3254" s="521" t="s">
        <v>99</v>
      </c>
      <c r="F3254" s="518">
        <v>15</v>
      </c>
      <c r="G3254" s="274"/>
      <c r="H3254" s="275"/>
    </row>
    <row r="3255" spans="2:8" ht="14.25">
      <c r="B3255" s="183" t="s">
        <v>4235</v>
      </c>
      <c r="C3255" s="519"/>
      <c r="D3255" s="520" t="s">
        <v>3600</v>
      </c>
      <c r="E3255" s="521" t="s">
        <v>99</v>
      </c>
      <c r="F3255" s="518">
        <v>30</v>
      </c>
      <c r="G3255" s="274"/>
      <c r="H3255" s="275"/>
    </row>
    <row r="3256" spans="2:8" ht="14.25">
      <c r="B3256" s="183" t="s">
        <v>4236</v>
      </c>
      <c r="C3256" s="519"/>
      <c r="D3256" s="520" t="s">
        <v>3602</v>
      </c>
      <c r="E3256" s="521" t="s">
        <v>99</v>
      </c>
      <c r="F3256" s="518">
        <v>20</v>
      </c>
      <c r="G3256" s="274"/>
      <c r="H3256" s="275"/>
    </row>
    <row r="3257" spans="2:8" ht="14.25">
      <c r="B3257" s="183" t="s">
        <v>4237</v>
      </c>
      <c r="C3257" s="519"/>
      <c r="D3257" s="520" t="s">
        <v>3604</v>
      </c>
      <c r="E3257" s="521" t="s">
        <v>209</v>
      </c>
      <c r="F3257" s="525">
        <v>1225</v>
      </c>
      <c r="G3257" s="274"/>
      <c r="H3257" s="275"/>
    </row>
    <row r="3258" spans="2:8" ht="14.25">
      <c r="B3258" s="183" t="s">
        <v>4238</v>
      </c>
      <c r="C3258" s="519"/>
      <c r="D3258" s="520" t="s">
        <v>3606</v>
      </c>
      <c r="E3258" s="521" t="s">
        <v>309</v>
      </c>
      <c r="F3258" s="518">
        <v>1</v>
      </c>
      <c r="G3258" s="274"/>
      <c r="H3258" s="275"/>
    </row>
    <row r="3259" spans="2:8" ht="14.25">
      <c r="B3259" s="183" t="s">
        <v>4239</v>
      </c>
      <c r="C3259" s="519"/>
      <c r="D3259" s="520" t="s">
        <v>3608</v>
      </c>
      <c r="E3259" s="521" t="s">
        <v>99</v>
      </c>
      <c r="F3259" s="518">
        <v>20</v>
      </c>
      <c r="G3259" s="274"/>
      <c r="H3259" s="275"/>
    </row>
    <row r="3260" spans="2:8" ht="14.25">
      <c r="B3260" s="183" t="s">
        <v>4240</v>
      </c>
      <c r="C3260" s="519"/>
      <c r="D3260" s="520" t="s">
        <v>3610</v>
      </c>
      <c r="E3260" s="521" t="s">
        <v>99</v>
      </c>
      <c r="F3260" s="518">
        <v>4</v>
      </c>
      <c r="G3260" s="274"/>
      <c r="H3260" s="275"/>
    </row>
    <row r="3261" spans="2:8" ht="14.25">
      <c r="B3261" s="183" t="s">
        <v>4241</v>
      </c>
      <c r="C3261" s="519"/>
      <c r="D3261" s="520" t="s">
        <v>3612</v>
      </c>
      <c r="E3261" s="521" t="s">
        <v>99</v>
      </c>
      <c r="F3261" s="518">
        <v>2</v>
      </c>
      <c r="G3261" s="274"/>
      <c r="H3261" s="275"/>
    </row>
    <row r="3262" spans="2:8" ht="14.25">
      <c r="B3262" s="183" t="s">
        <v>4242</v>
      </c>
      <c r="C3262" s="519"/>
      <c r="D3262" s="520" t="s">
        <v>3614</v>
      </c>
      <c r="E3262" s="521" t="s">
        <v>99</v>
      </c>
      <c r="F3262" s="518">
        <v>44</v>
      </c>
      <c r="G3262" s="274"/>
      <c r="H3262" s="275"/>
    </row>
    <row r="3263" spans="2:8" ht="14.25">
      <c r="B3263" s="183" t="s">
        <v>4243</v>
      </c>
      <c r="C3263" s="519"/>
      <c r="D3263" s="520" t="s">
        <v>3616</v>
      </c>
      <c r="E3263" s="521" t="s">
        <v>99</v>
      </c>
      <c r="F3263" s="518">
        <v>3</v>
      </c>
      <c r="G3263" s="274"/>
      <c r="H3263" s="275"/>
    </row>
    <row r="3264" spans="2:8" ht="14.25">
      <c r="B3264" s="183" t="s">
        <v>4244</v>
      </c>
      <c r="C3264" s="519"/>
      <c r="D3264" s="520" t="s">
        <v>3685</v>
      </c>
      <c r="E3264" s="521" t="s">
        <v>99</v>
      </c>
      <c r="F3264" s="518">
        <v>3</v>
      </c>
      <c r="G3264" s="274"/>
      <c r="H3264" s="275"/>
    </row>
    <row r="3265" spans="2:8" ht="14.25">
      <c r="B3265" s="183" t="s">
        <v>4245</v>
      </c>
      <c r="C3265" s="519"/>
      <c r="D3265" s="520" t="s">
        <v>4246</v>
      </c>
      <c r="E3265" s="521" t="s">
        <v>99</v>
      </c>
      <c r="F3265" s="518">
        <v>27</v>
      </c>
      <c r="G3265" s="274"/>
      <c r="H3265" s="275"/>
    </row>
    <row r="3266" spans="2:8" ht="14.25">
      <c r="B3266" s="183" t="s">
        <v>4247</v>
      </c>
      <c r="C3266" s="519"/>
      <c r="D3266" s="520" t="s">
        <v>4196</v>
      </c>
      <c r="E3266" s="521" t="s">
        <v>99</v>
      </c>
      <c r="F3266" s="518">
        <v>3</v>
      </c>
      <c r="G3266" s="274"/>
      <c r="H3266" s="275"/>
    </row>
    <row r="3267" spans="2:8" ht="14.25">
      <c r="B3267" s="129" t="s">
        <v>4248</v>
      </c>
      <c r="C3267" s="368"/>
      <c r="D3267" s="524" t="s">
        <v>3620</v>
      </c>
      <c r="E3267" s="521"/>
      <c r="F3267" s="518"/>
      <c r="G3267" s="274"/>
      <c r="H3267" s="275"/>
    </row>
    <row r="3268" spans="2:8" ht="14.25">
      <c r="B3268" s="129" t="s">
        <v>4249</v>
      </c>
      <c r="C3268" s="368"/>
      <c r="D3268" s="520" t="s">
        <v>3622</v>
      </c>
      <c r="E3268" s="521" t="s">
        <v>209</v>
      </c>
      <c r="F3268" s="518">
        <v>1080</v>
      </c>
      <c r="G3268" s="274"/>
      <c r="H3268" s="275"/>
    </row>
    <row r="3269" spans="2:8" ht="14.25">
      <c r="B3269" s="129" t="s">
        <v>4250</v>
      </c>
      <c r="C3269" s="368"/>
      <c r="D3269" s="520" t="s">
        <v>3624</v>
      </c>
      <c r="E3269" s="521" t="s">
        <v>209</v>
      </c>
      <c r="F3269" s="518">
        <v>1570</v>
      </c>
      <c r="G3269" s="274"/>
      <c r="H3269" s="275"/>
    </row>
    <row r="3270" spans="2:8" ht="14.25">
      <c r="B3270" s="129" t="s">
        <v>4251</v>
      </c>
      <c r="C3270" s="368"/>
      <c r="D3270" s="520" t="s">
        <v>3626</v>
      </c>
      <c r="E3270" s="521" t="s">
        <v>209</v>
      </c>
      <c r="F3270" s="518">
        <v>785</v>
      </c>
      <c r="G3270" s="274"/>
      <c r="H3270" s="275"/>
    </row>
    <row r="3271" spans="2:8" ht="14.25">
      <c r="B3271" s="129" t="s">
        <v>4252</v>
      </c>
      <c r="C3271" s="368"/>
      <c r="D3271" s="520" t="s">
        <v>3598</v>
      </c>
      <c r="E3271" s="521" t="s">
        <v>99</v>
      </c>
      <c r="F3271" s="518">
        <v>25</v>
      </c>
      <c r="G3271" s="274"/>
      <c r="H3271" s="275"/>
    </row>
    <row r="3272" spans="2:8" ht="14.25">
      <c r="B3272" s="129" t="s">
        <v>4253</v>
      </c>
      <c r="C3272" s="368"/>
      <c r="D3272" s="520" t="s">
        <v>3600</v>
      </c>
      <c r="E3272" s="521" t="s">
        <v>99</v>
      </c>
      <c r="F3272" s="518">
        <v>25</v>
      </c>
      <c r="G3272" s="274"/>
      <c r="H3272" s="275"/>
    </row>
    <row r="3273" spans="2:8" ht="14.25">
      <c r="B3273" s="129" t="s">
        <v>4254</v>
      </c>
      <c r="C3273" s="368"/>
      <c r="D3273" s="520" t="s">
        <v>3602</v>
      </c>
      <c r="E3273" s="521" t="s">
        <v>99</v>
      </c>
      <c r="F3273" s="518">
        <v>25</v>
      </c>
      <c r="G3273" s="274"/>
      <c r="H3273" s="275"/>
    </row>
    <row r="3274" spans="2:8" ht="14.25">
      <c r="B3274" s="129" t="s">
        <v>4255</v>
      </c>
      <c r="C3274" s="368"/>
      <c r="D3274" s="520" t="s">
        <v>3604</v>
      </c>
      <c r="E3274" s="521" t="s">
        <v>209</v>
      </c>
      <c r="F3274" s="518">
        <v>785</v>
      </c>
      <c r="G3274" s="274"/>
      <c r="H3274" s="275"/>
    </row>
    <row r="3275" spans="2:8" ht="14.25">
      <c r="B3275" s="129" t="s">
        <v>4256</v>
      </c>
      <c r="C3275" s="368"/>
      <c r="D3275" s="520" t="s">
        <v>3606</v>
      </c>
      <c r="E3275" s="521" t="s">
        <v>309</v>
      </c>
      <c r="F3275" s="518">
        <v>1</v>
      </c>
      <c r="G3275" s="274"/>
      <c r="H3275" s="275"/>
    </row>
    <row r="3276" spans="2:8" ht="14.25">
      <c r="B3276" s="129" t="s">
        <v>4257</v>
      </c>
      <c r="C3276" s="368"/>
      <c r="D3276" s="520" t="s">
        <v>3633</v>
      </c>
      <c r="E3276" s="521" t="s">
        <v>99</v>
      </c>
      <c r="F3276" s="518">
        <v>12</v>
      </c>
      <c r="G3276" s="274"/>
      <c r="H3276" s="275"/>
    </row>
    <row r="3277" spans="2:8" ht="14.25">
      <c r="B3277" s="129" t="s">
        <v>4258</v>
      </c>
      <c r="C3277" s="368"/>
      <c r="D3277" s="520" t="s">
        <v>3635</v>
      </c>
      <c r="E3277" s="521" t="s">
        <v>99</v>
      </c>
      <c r="F3277" s="518">
        <v>4</v>
      </c>
      <c r="G3277" s="274"/>
      <c r="H3277" s="275"/>
    </row>
    <row r="3278" spans="2:8" ht="14.25">
      <c r="B3278" s="129" t="s">
        <v>4259</v>
      </c>
      <c r="C3278" s="368"/>
      <c r="D3278" s="520" t="s">
        <v>3637</v>
      </c>
      <c r="E3278" s="521" t="s">
        <v>99</v>
      </c>
      <c r="F3278" s="518">
        <v>3</v>
      </c>
      <c r="G3278" s="274"/>
      <c r="H3278" s="275"/>
    </row>
    <row r="3279" spans="2:8" ht="14.25">
      <c r="B3279" s="129" t="s">
        <v>4260</v>
      </c>
      <c r="C3279" s="368"/>
      <c r="D3279" s="524" t="s">
        <v>4261</v>
      </c>
      <c r="E3279" s="521"/>
      <c r="F3279" s="518"/>
      <c r="G3279" s="274"/>
      <c r="H3279" s="275"/>
    </row>
    <row r="3280" spans="2:8" ht="14.25">
      <c r="B3280" s="129" t="s">
        <v>4262</v>
      </c>
      <c r="C3280" s="368"/>
      <c r="D3280" s="520" t="s">
        <v>3641</v>
      </c>
      <c r="E3280" s="521" t="s">
        <v>209</v>
      </c>
      <c r="F3280" s="518">
        <v>1350</v>
      </c>
      <c r="G3280" s="274"/>
      <c r="H3280" s="275"/>
    </row>
    <row r="3281" spans="2:8" ht="14.25">
      <c r="B3281" s="129" t="s">
        <v>4263</v>
      </c>
      <c r="C3281" s="368"/>
      <c r="D3281" s="520" t="s">
        <v>3643</v>
      </c>
      <c r="E3281" s="521" t="s">
        <v>209</v>
      </c>
      <c r="F3281" s="518">
        <v>310</v>
      </c>
      <c r="G3281" s="274"/>
      <c r="H3281" s="275"/>
    </row>
    <row r="3282" spans="2:8" ht="14.25">
      <c r="B3282" s="129" t="s">
        <v>4264</v>
      </c>
      <c r="C3282" s="368"/>
      <c r="D3282" s="520" t="s">
        <v>3645</v>
      </c>
      <c r="E3282" s="521" t="s">
        <v>209</v>
      </c>
      <c r="F3282" s="518">
        <v>140</v>
      </c>
      <c r="G3282" s="274"/>
      <c r="H3282" s="275"/>
    </row>
    <row r="3283" spans="2:8" ht="14.25">
      <c r="B3283" s="129" t="s">
        <v>4265</v>
      </c>
      <c r="C3283" s="368"/>
      <c r="D3283" s="520" t="s">
        <v>3626</v>
      </c>
      <c r="E3283" s="521" t="s">
        <v>209</v>
      </c>
      <c r="F3283" s="518">
        <v>1350</v>
      </c>
      <c r="G3283" s="274"/>
      <c r="H3283" s="275"/>
    </row>
    <row r="3284" spans="2:8" ht="14.25">
      <c r="B3284" s="129" t="s">
        <v>4266</v>
      </c>
      <c r="C3284" s="368"/>
      <c r="D3284" s="520" t="s">
        <v>3751</v>
      </c>
      <c r="E3284" s="521" t="s">
        <v>209</v>
      </c>
      <c r="F3284" s="518">
        <v>310</v>
      </c>
      <c r="G3284" s="274"/>
      <c r="H3284" s="275"/>
    </row>
    <row r="3285" spans="2:8" ht="14.25">
      <c r="B3285" s="129" t="s">
        <v>4267</v>
      </c>
      <c r="C3285" s="368"/>
      <c r="D3285" s="520" t="s">
        <v>3796</v>
      </c>
      <c r="E3285" s="521" t="s">
        <v>209</v>
      </c>
      <c r="F3285" s="518">
        <v>140</v>
      </c>
      <c r="G3285" s="274"/>
      <c r="H3285" s="275"/>
    </row>
    <row r="3286" spans="2:8" ht="14.25">
      <c r="B3286" s="129" t="s">
        <v>4268</v>
      </c>
      <c r="C3286" s="368"/>
      <c r="D3286" s="520" t="s">
        <v>3600</v>
      </c>
      <c r="E3286" s="521" t="s">
        <v>99</v>
      </c>
      <c r="F3286" s="518">
        <v>30</v>
      </c>
      <c r="G3286" s="274"/>
      <c r="H3286" s="275"/>
    </row>
    <row r="3287" spans="2:8" ht="14.25">
      <c r="B3287" s="129" t="s">
        <v>4269</v>
      </c>
      <c r="C3287" s="368"/>
      <c r="D3287" s="520" t="s">
        <v>3604</v>
      </c>
      <c r="E3287" s="521" t="s">
        <v>209</v>
      </c>
      <c r="F3287" s="518">
        <v>675</v>
      </c>
      <c r="G3287" s="274"/>
      <c r="H3287" s="275"/>
    </row>
    <row r="3288" spans="2:8" ht="14.25">
      <c r="B3288" s="129" t="s">
        <v>4270</v>
      </c>
      <c r="C3288" s="368"/>
      <c r="D3288" s="520" t="s">
        <v>3783</v>
      </c>
      <c r="E3288" s="521" t="s">
        <v>209</v>
      </c>
      <c r="F3288" s="518">
        <v>70</v>
      </c>
      <c r="G3288" s="274"/>
      <c r="H3288" s="275"/>
    </row>
    <row r="3289" spans="2:8" ht="25.5">
      <c r="B3289" s="129" t="s">
        <v>4271</v>
      </c>
      <c r="C3289" s="368"/>
      <c r="D3289" s="520" t="s">
        <v>3650</v>
      </c>
      <c r="E3289" s="521" t="s">
        <v>309</v>
      </c>
      <c r="F3289" s="518">
        <v>1</v>
      </c>
      <c r="G3289" s="274"/>
      <c r="H3289" s="275"/>
    </row>
    <row r="3290" spans="2:8" ht="14.25">
      <c r="B3290" s="129" t="s">
        <v>4272</v>
      </c>
      <c r="C3290" s="368"/>
      <c r="D3290" s="524" t="s">
        <v>3652</v>
      </c>
      <c r="E3290" s="521"/>
      <c r="F3290" s="518"/>
      <c r="G3290" s="274"/>
      <c r="H3290" s="275"/>
    </row>
    <row r="3291" spans="2:8" ht="14.25">
      <c r="B3291" s="129" t="s">
        <v>4273</v>
      </c>
      <c r="C3291" s="368"/>
      <c r="D3291" s="520" t="s">
        <v>3654</v>
      </c>
      <c r="E3291" s="521" t="s">
        <v>99</v>
      </c>
      <c r="F3291" s="518">
        <v>20</v>
      </c>
      <c r="G3291" s="274"/>
      <c r="H3291" s="275"/>
    </row>
    <row r="3292" spans="2:8" ht="14.25">
      <c r="B3292" s="129" t="s">
        <v>4274</v>
      </c>
      <c r="C3292" s="368"/>
      <c r="D3292" s="520" t="s">
        <v>3656</v>
      </c>
      <c r="E3292" s="521" t="s">
        <v>99</v>
      </c>
      <c r="F3292" s="518">
        <v>5</v>
      </c>
      <c r="G3292" s="274"/>
      <c r="H3292" s="275"/>
    </row>
    <row r="3293" spans="2:8" ht="14.25">
      <c r="B3293" s="129" t="s">
        <v>4275</v>
      </c>
      <c r="C3293" s="368"/>
      <c r="D3293" s="520" t="s">
        <v>3658</v>
      </c>
      <c r="E3293" s="521" t="s">
        <v>209</v>
      </c>
      <c r="F3293" s="518">
        <v>100</v>
      </c>
      <c r="G3293" s="274"/>
      <c r="H3293" s="275"/>
    </row>
    <row r="3294" spans="2:8" ht="14.25">
      <c r="B3294" s="129" t="s">
        <v>4276</v>
      </c>
      <c r="C3294" s="368"/>
      <c r="D3294" s="520" t="s">
        <v>3660</v>
      </c>
      <c r="E3294" s="521" t="s">
        <v>309</v>
      </c>
      <c r="F3294" s="518">
        <v>1</v>
      </c>
      <c r="G3294" s="274"/>
      <c r="H3294" s="275"/>
    </row>
    <row r="3295" spans="2:8" ht="14.25">
      <c r="B3295" s="129" t="s">
        <v>4277</v>
      </c>
      <c r="C3295" s="368"/>
      <c r="D3295" s="524" t="s">
        <v>3662</v>
      </c>
      <c r="E3295" s="521"/>
      <c r="F3295" s="518"/>
      <c r="G3295" s="274"/>
      <c r="H3295" s="275"/>
    </row>
    <row r="3296" spans="2:8" ht="14.25">
      <c r="B3296" s="129" t="s">
        <v>4278</v>
      </c>
      <c r="C3296" s="368"/>
      <c r="D3296" s="520" t="s">
        <v>3717</v>
      </c>
      <c r="E3296" s="521" t="s">
        <v>209</v>
      </c>
      <c r="F3296" s="518">
        <v>25</v>
      </c>
      <c r="G3296" s="274"/>
      <c r="H3296" s="275"/>
    </row>
    <row r="3297" spans="2:8" ht="14.25">
      <c r="B3297" s="129" t="s">
        <v>4279</v>
      </c>
      <c r="C3297" s="368"/>
      <c r="D3297" s="520" t="s">
        <v>3664</v>
      </c>
      <c r="E3297" s="521" t="s">
        <v>209</v>
      </c>
      <c r="F3297" s="518">
        <v>80</v>
      </c>
      <c r="G3297" s="274"/>
      <c r="H3297" s="275"/>
    </row>
    <row r="3298" spans="2:8" ht="14.25">
      <c r="B3298" s="129" t="s">
        <v>4280</v>
      </c>
      <c r="C3298" s="368"/>
      <c r="D3298" s="520" t="s">
        <v>3666</v>
      </c>
      <c r="E3298" s="521" t="s">
        <v>309</v>
      </c>
      <c r="F3298" s="518">
        <v>1</v>
      </c>
      <c r="G3298" s="274"/>
      <c r="H3298" s="275"/>
    </row>
    <row r="3299" spans="2:8" ht="29.25">
      <c r="B3299" s="186" t="s">
        <v>4281</v>
      </c>
      <c r="C3299" s="312"/>
      <c r="D3299" s="313" t="s">
        <v>4282</v>
      </c>
      <c r="E3299" s="314"/>
      <c r="F3299" s="283"/>
      <c r="G3299" s="233"/>
      <c r="H3299" s="234"/>
    </row>
    <row r="3300" spans="2:8" ht="14.25">
      <c r="B3300" s="183" t="s">
        <v>4283</v>
      </c>
      <c r="C3300" s="519"/>
      <c r="D3300" s="524" t="s">
        <v>3592</v>
      </c>
      <c r="E3300" s="521"/>
      <c r="F3300" s="518"/>
      <c r="G3300" s="274"/>
      <c r="H3300" s="275"/>
    </row>
    <row r="3301" spans="2:8" ht="14.25">
      <c r="B3301" s="183" t="s">
        <v>4284</v>
      </c>
      <c r="C3301" s="519"/>
      <c r="D3301" s="520" t="s">
        <v>3643</v>
      </c>
      <c r="E3301" s="521" t="s">
        <v>209</v>
      </c>
      <c r="F3301" s="525">
        <v>1600</v>
      </c>
      <c r="G3301" s="274"/>
      <c r="H3301" s="275"/>
    </row>
    <row r="3302" spans="2:8" ht="14.25">
      <c r="B3302" s="183" t="s">
        <v>4285</v>
      </c>
      <c r="C3302" s="519"/>
      <c r="D3302" s="520" t="s">
        <v>3622</v>
      </c>
      <c r="E3302" s="521" t="s">
        <v>209</v>
      </c>
      <c r="F3302" s="525">
        <v>1860</v>
      </c>
      <c r="G3302" s="274"/>
      <c r="H3302" s="275"/>
    </row>
    <row r="3303" spans="2:8" ht="14.25">
      <c r="B3303" s="183" t="s">
        <v>4286</v>
      </c>
      <c r="C3303" s="519"/>
      <c r="D3303" s="520" t="s">
        <v>3751</v>
      </c>
      <c r="E3303" s="521" t="s">
        <v>209</v>
      </c>
      <c r="F3303" s="525">
        <v>1600</v>
      </c>
      <c r="G3303" s="274"/>
      <c r="H3303" s="275"/>
    </row>
    <row r="3304" spans="2:8" ht="14.25">
      <c r="B3304" s="183" t="s">
        <v>4287</v>
      </c>
      <c r="C3304" s="519"/>
      <c r="D3304" s="520" t="s">
        <v>3626</v>
      </c>
      <c r="E3304" s="521" t="s">
        <v>209</v>
      </c>
      <c r="F3304" s="525">
        <v>1860</v>
      </c>
      <c r="G3304" s="274"/>
      <c r="H3304" s="275"/>
    </row>
    <row r="3305" spans="2:8" ht="14.25">
      <c r="B3305" s="183" t="s">
        <v>4288</v>
      </c>
      <c r="C3305" s="519"/>
      <c r="D3305" s="520" t="s">
        <v>3598</v>
      </c>
      <c r="E3305" s="521" t="s">
        <v>99</v>
      </c>
      <c r="F3305" s="518">
        <v>50</v>
      </c>
      <c r="G3305" s="274"/>
      <c r="H3305" s="275"/>
    </row>
    <row r="3306" spans="2:8" ht="14.25">
      <c r="B3306" s="183" t="s">
        <v>4289</v>
      </c>
      <c r="C3306" s="519"/>
      <c r="D3306" s="520" t="s">
        <v>4290</v>
      </c>
      <c r="E3306" s="521" t="s">
        <v>209</v>
      </c>
      <c r="F3306" s="525">
        <v>1200</v>
      </c>
      <c r="G3306" s="274"/>
      <c r="H3306" s="275"/>
    </row>
    <row r="3307" spans="2:8" ht="14.25">
      <c r="B3307" s="183" t="s">
        <v>4291</v>
      </c>
      <c r="C3307" s="519"/>
      <c r="D3307" s="520" t="s">
        <v>4292</v>
      </c>
      <c r="E3307" s="521" t="s">
        <v>209</v>
      </c>
      <c r="F3307" s="525">
        <v>600</v>
      </c>
      <c r="G3307" s="274"/>
      <c r="H3307" s="275"/>
    </row>
    <row r="3308" spans="2:8" ht="14.25">
      <c r="B3308" s="183" t="s">
        <v>4293</v>
      </c>
      <c r="C3308" s="519"/>
      <c r="D3308" s="520" t="s">
        <v>4294</v>
      </c>
      <c r="E3308" s="521" t="s">
        <v>209</v>
      </c>
      <c r="F3308" s="518">
        <v>1500</v>
      </c>
      <c r="G3308" s="274"/>
      <c r="H3308" s="275"/>
    </row>
    <row r="3309" spans="2:8" ht="14.25">
      <c r="B3309" s="183" t="s">
        <v>4295</v>
      </c>
      <c r="C3309" s="519"/>
      <c r="D3309" s="520" t="s">
        <v>4296</v>
      </c>
      <c r="E3309" s="521" t="s">
        <v>99</v>
      </c>
      <c r="F3309" s="518">
        <v>30</v>
      </c>
      <c r="G3309" s="274"/>
      <c r="H3309" s="275"/>
    </row>
    <row r="3310" spans="2:8" ht="14.25">
      <c r="B3310" s="183" t="s">
        <v>4297</v>
      </c>
      <c r="C3310" s="519"/>
      <c r="D3310" s="520" t="s">
        <v>3610</v>
      </c>
      <c r="E3310" s="521" t="s">
        <v>99</v>
      </c>
      <c r="F3310" s="518">
        <v>15</v>
      </c>
      <c r="G3310" s="274"/>
      <c r="H3310" s="275"/>
    </row>
    <row r="3311" spans="2:8" ht="14.25">
      <c r="B3311" s="183" t="s">
        <v>4298</v>
      </c>
      <c r="C3311" s="519"/>
      <c r="D3311" s="530" t="s">
        <v>4299</v>
      </c>
      <c r="E3311" s="521" t="s">
        <v>99</v>
      </c>
      <c r="F3311" s="518">
        <v>15</v>
      </c>
      <c r="G3311" s="274"/>
      <c r="H3311" s="275"/>
    </row>
    <row r="3312" spans="2:8" ht="14.25">
      <c r="B3312" s="183" t="s">
        <v>4300</v>
      </c>
      <c r="C3312" s="519"/>
      <c r="D3312" s="520" t="s">
        <v>4301</v>
      </c>
      <c r="E3312" s="521" t="s">
        <v>309</v>
      </c>
      <c r="F3312" s="518">
        <v>1</v>
      </c>
      <c r="G3312" s="274"/>
      <c r="H3312" s="275"/>
    </row>
    <row r="3313" spans="2:8" ht="14.25">
      <c r="B3313" s="183" t="s">
        <v>4302</v>
      </c>
      <c r="C3313" s="519"/>
      <c r="D3313" s="520" t="s">
        <v>4303</v>
      </c>
      <c r="E3313" s="521" t="s">
        <v>99</v>
      </c>
      <c r="F3313" s="518">
        <v>21</v>
      </c>
      <c r="G3313" s="274"/>
      <c r="H3313" s="275"/>
    </row>
    <row r="3314" spans="2:8" ht="14.25">
      <c r="B3314" s="183" t="s">
        <v>4304</v>
      </c>
      <c r="C3314" s="519"/>
      <c r="D3314" s="520" t="s">
        <v>4305</v>
      </c>
      <c r="E3314" s="521" t="s">
        <v>99</v>
      </c>
      <c r="F3314" s="518">
        <v>2</v>
      </c>
      <c r="G3314" s="274"/>
      <c r="H3314" s="275"/>
    </row>
    <row r="3315" spans="2:8" ht="14.25">
      <c r="B3315" s="183" t="s">
        <v>4306</v>
      </c>
      <c r="C3315" s="519"/>
      <c r="D3315" s="520" t="s">
        <v>4307</v>
      </c>
      <c r="E3315" s="521" t="s">
        <v>99</v>
      </c>
      <c r="F3315" s="518">
        <v>8</v>
      </c>
      <c r="G3315" s="274"/>
      <c r="H3315" s="275"/>
    </row>
    <row r="3316" spans="2:8" ht="14.25">
      <c r="B3316" s="183" t="s">
        <v>4308</v>
      </c>
      <c r="C3316" s="519"/>
      <c r="D3316" s="520" t="s">
        <v>4309</v>
      </c>
      <c r="E3316" s="521" t="s">
        <v>99</v>
      </c>
      <c r="F3316" s="518">
        <v>15</v>
      </c>
      <c r="G3316" s="274"/>
      <c r="H3316" s="275"/>
    </row>
    <row r="3317" spans="2:8" ht="14.25">
      <c r="B3317" s="183" t="s">
        <v>4310</v>
      </c>
      <c r="C3317" s="519"/>
      <c r="D3317" s="520" t="s">
        <v>4311</v>
      </c>
      <c r="E3317" s="521" t="s">
        <v>99</v>
      </c>
      <c r="F3317" s="518">
        <v>16</v>
      </c>
      <c r="G3317" s="274"/>
      <c r="H3317" s="275"/>
    </row>
    <row r="3318" spans="2:8" ht="14.25">
      <c r="B3318" s="183" t="s">
        <v>4312</v>
      </c>
      <c r="C3318" s="519"/>
      <c r="D3318" s="520" t="s">
        <v>4313</v>
      </c>
      <c r="E3318" s="521" t="s">
        <v>99</v>
      </c>
      <c r="F3318" s="518">
        <v>70</v>
      </c>
      <c r="G3318" s="274"/>
      <c r="H3318" s="275"/>
    </row>
    <row r="3319" spans="2:8" ht="14.25">
      <c r="B3319" s="183" t="s">
        <v>4314</v>
      </c>
      <c r="C3319" s="519"/>
      <c r="D3319" s="520" t="s">
        <v>4315</v>
      </c>
      <c r="E3319" s="521" t="s">
        <v>99</v>
      </c>
      <c r="F3319" s="518">
        <v>73</v>
      </c>
      <c r="G3319" s="274"/>
      <c r="H3319" s="275"/>
    </row>
    <row r="3320" spans="2:8" ht="14.25">
      <c r="B3320" s="183" t="s">
        <v>4316</v>
      </c>
      <c r="C3320" s="519"/>
      <c r="D3320" s="520" t="s">
        <v>4317</v>
      </c>
      <c r="E3320" s="521" t="s">
        <v>99</v>
      </c>
      <c r="F3320" s="518">
        <v>2</v>
      </c>
      <c r="G3320" s="274"/>
      <c r="H3320" s="275"/>
    </row>
    <row r="3321" spans="2:8" ht="14.25">
      <c r="B3321" s="183" t="s">
        <v>4318</v>
      </c>
      <c r="C3321" s="519"/>
      <c r="D3321" s="520" t="s">
        <v>4319</v>
      </c>
      <c r="E3321" s="521" t="s">
        <v>99</v>
      </c>
      <c r="F3321" s="518">
        <v>5</v>
      </c>
      <c r="G3321" s="274"/>
      <c r="H3321" s="275"/>
    </row>
    <row r="3322" spans="2:8" ht="14.25">
      <c r="B3322" s="183" t="s">
        <v>4320</v>
      </c>
      <c r="C3322" s="519"/>
      <c r="D3322" s="520" t="s">
        <v>4321</v>
      </c>
      <c r="E3322" s="521" t="s">
        <v>99</v>
      </c>
      <c r="F3322" s="518">
        <v>27</v>
      </c>
      <c r="G3322" s="274"/>
      <c r="H3322" s="275"/>
    </row>
    <row r="3323" spans="2:8" ht="14.25">
      <c r="B3323" s="183" t="s">
        <v>4322</v>
      </c>
      <c r="C3323" s="519"/>
      <c r="D3323" s="520" t="s">
        <v>4323</v>
      </c>
      <c r="E3323" s="521" t="s">
        <v>99</v>
      </c>
      <c r="F3323" s="518">
        <v>18</v>
      </c>
      <c r="G3323" s="274"/>
      <c r="H3323" s="275"/>
    </row>
    <row r="3324" spans="2:8" ht="14.25">
      <c r="B3324" s="183" t="s">
        <v>4324</v>
      </c>
      <c r="C3324" s="519"/>
      <c r="D3324" s="520" t="s">
        <v>4325</v>
      </c>
      <c r="E3324" s="521" t="s">
        <v>99</v>
      </c>
      <c r="F3324" s="518">
        <v>22</v>
      </c>
      <c r="G3324" s="274"/>
      <c r="H3324" s="275"/>
    </row>
    <row r="3325" spans="2:8" ht="14.25">
      <c r="B3325" s="183" t="s">
        <v>4326</v>
      </c>
      <c r="C3325" s="519"/>
      <c r="D3325" s="520" t="s">
        <v>4327</v>
      </c>
      <c r="E3325" s="521" t="s">
        <v>99</v>
      </c>
      <c r="F3325" s="518">
        <v>6</v>
      </c>
      <c r="G3325" s="274"/>
      <c r="H3325" s="275"/>
    </row>
    <row r="3326" spans="2:8" ht="14.25">
      <c r="B3326" s="183" t="s">
        <v>4328</v>
      </c>
      <c r="C3326" s="519"/>
      <c r="D3326" s="520" t="s">
        <v>4329</v>
      </c>
      <c r="E3326" s="521" t="s">
        <v>99</v>
      </c>
      <c r="F3326" s="518">
        <v>15</v>
      </c>
      <c r="G3326" s="274"/>
      <c r="H3326" s="275"/>
    </row>
    <row r="3327" spans="2:8" ht="14.25">
      <c r="B3327" s="183" t="s">
        <v>4330</v>
      </c>
      <c r="C3327" s="519"/>
      <c r="D3327" s="520" t="s">
        <v>4331</v>
      </c>
      <c r="E3327" s="521" t="s">
        <v>99</v>
      </c>
      <c r="F3327" s="518">
        <v>15</v>
      </c>
      <c r="G3327" s="274"/>
      <c r="H3327" s="275"/>
    </row>
    <row r="3328" spans="2:8" ht="14.25">
      <c r="B3328" s="183" t="s">
        <v>4332</v>
      </c>
      <c r="C3328" s="519"/>
      <c r="D3328" s="520" t="s">
        <v>4333</v>
      </c>
      <c r="E3328" s="521" t="s">
        <v>99</v>
      </c>
      <c r="F3328" s="518">
        <v>64</v>
      </c>
      <c r="G3328" s="528"/>
      <c r="H3328" s="275"/>
    </row>
    <row r="3329" spans="2:8" ht="14.25">
      <c r="B3329" s="183" t="s">
        <v>4334</v>
      </c>
      <c r="C3329" s="519"/>
      <c r="D3329" s="520" t="s">
        <v>4335</v>
      </c>
      <c r="E3329" s="521" t="s">
        <v>99</v>
      </c>
      <c r="F3329" s="518">
        <v>67</v>
      </c>
      <c r="G3329" s="528"/>
      <c r="H3329" s="275"/>
    </row>
    <row r="3330" spans="2:8" ht="14.25">
      <c r="B3330" s="183" t="s">
        <v>4336</v>
      </c>
      <c r="C3330" s="519"/>
      <c r="D3330" s="520" t="s">
        <v>4337</v>
      </c>
      <c r="E3330" s="521" t="s">
        <v>99</v>
      </c>
      <c r="F3330" s="518">
        <v>7</v>
      </c>
      <c r="G3330" s="528"/>
      <c r="H3330" s="275"/>
    </row>
    <row r="3331" spans="2:8" ht="14.25">
      <c r="B3331" s="183" t="s">
        <v>4338</v>
      </c>
      <c r="C3331" s="519"/>
      <c r="D3331" s="520" t="s">
        <v>4339</v>
      </c>
      <c r="E3331" s="521" t="s">
        <v>209</v>
      </c>
      <c r="F3331" s="518">
        <v>94</v>
      </c>
      <c r="G3331" s="528"/>
      <c r="H3331" s="275"/>
    </row>
    <row r="3332" spans="2:8" ht="14.25">
      <c r="B3332" s="183" t="s">
        <v>4340</v>
      </c>
      <c r="C3332" s="519"/>
      <c r="D3332" s="520" t="s">
        <v>4341</v>
      </c>
      <c r="E3332" s="521" t="s">
        <v>99</v>
      </c>
      <c r="F3332" s="518">
        <v>15</v>
      </c>
      <c r="G3332" s="528"/>
      <c r="H3332" s="275"/>
    </row>
    <row r="3333" spans="2:8" ht="43.5">
      <c r="B3333" s="186" t="s">
        <v>4342</v>
      </c>
      <c r="C3333" s="312"/>
      <c r="D3333" s="313" t="s">
        <v>4343</v>
      </c>
      <c r="E3333" s="314"/>
      <c r="F3333" s="283"/>
      <c r="G3333" s="233"/>
      <c r="H3333" s="234"/>
    </row>
    <row r="3334" spans="2:8" ht="14.25">
      <c r="B3334" s="183" t="s">
        <v>4344</v>
      </c>
      <c r="C3334" s="519"/>
      <c r="D3334" s="524" t="s">
        <v>4345</v>
      </c>
      <c r="E3334" s="521"/>
      <c r="F3334" s="518"/>
      <c r="G3334" s="274"/>
      <c r="H3334" s="275"/>
    </row>
    <row r="3335" spans="2:8" ht="14.25">
      <c r="B3335" s="183" t="s">
        <v>4346</v>
      </c>
      <c r="C3335" s="519"/>
      <c r="D3335" s="520" t="s">
        <v>4129</v>
      </c>
      <c r="E3335" s="521" t="s">
        <v>209</v>
      </c>
      <c r="F3335" s="518">
        <v>290</v>
      </c>
      <c r="G3335" s="274"/>
      <c r="H3335" s="275"/>
    </row>
    <row r="3336" spans="2:8" ht="14.25">
      <c r="B3336" s="183" t="s">
        <v>4347</v>
      </c>
      <c r="C3336" s="519"/>
      <c r="D3336" s="520" t="s">
        <v>3796</v>
      </c>
      <c r="E3336" s="521" t="s">
        <v>209</v>
      </c>
      <c r="F3336" s="518">
        <v>290</v>
      </c>
      <c r="G3336" s="274"/>
      <c r="H3336" s="275"/>
    </row>
    <row r="3337" spans="2:8" ht="14.25">
      <c r="B3337" s="183" t="s">
        <v>4348</v>
      </c>
      <c r="C3337" s="519"/>
      <c r="D3337" s="520" t="s">
        <v>4349</v>
      </c>
      <c r="E3337" s="521" t="s">
        <v>209</v>
      </c>
      <c r="F3337" s="518">
        <v>200</v>
      </c>
      <c r="G3337" s="274"/>
      <c r="H3337" s="275"/>
    </row>
    <row r="3338" spans="2:8" ht="14.25">
      <c r="B3338" s="183" t="s">
        <v>4350</v>
      </c>
      <c r="C3338" s="519"/>
      <c r="D3338" s="520" t="s">
        <v>4351</v>
      </c>
      <c r="E3338" s="521" t="s">
        <v>309</v>
      </c>
      <c r="F3338" s="518">
        <v>1</v>
      </c>
      <c r="G3338" s="274"/>
      <c r="H3338" s="275"/>
    </row>
    <row r="3339" spans="2:8" ht="14.25">
      <c r="B3339" s="183" t="s">
        <v>4352</v>
      </c>
      <c r="C3339" s="519"/>
      <c r="D3339" s="524" t="s">
        <v>4353</v>
      </c>
      <c r="E3339" s="521"/>
      <c r="F3339" s="518"/>
      <c r="G3339" s="274"/>
      <c r="H3339" s="275"/>
    </row>
    <row r="3340" spans="2:8" ht="14.25">
      <c r="B3340" s="183" t="s">
        <v>4354</v>
      </c>
      <c r="C3340" s="519"/>
      <c r="D3340" s="520" t="s">
        <v>4355</v>
      </c>
      <c r="E3340" s="521" t="s">
        <v>209</v>
      </c>
      <c r="F3340" s="518">
        <v>220</v>
      </c>
      <c r="G3340" s="274"/>
      <c r="H3340" s="275"/>
    </row>
    <row r="3341" spans="2:8" ht="14.25">
      <c r="B3341" s="183" t="s">
        <v>4356</v>
      </c>
      <c r="C3341" s="519"/>
      <c r="D3341" s="520" t="s">
        <v>4131</v>
      </c>
      <c r="E3341" s="521" t="s">
        <v>209</v>
      </c>
      <c r="F3341" s="518">
        <v>220</v>
      </c>
      <c r="G3341" s="274"/>
      <c r="H3341" s="275"/>
    </row>
    <row r="3342" spans="2:8" ht="14.25">
      <c r="B3342" s="183" t="s">
        <v>4357</v>
      </c>
      <c r="C3342" s="519"/>
      <c r="D3342" s="520" t="s">
        <v>4358</v>
      </c>
      <c r="E3342" s="521" t="s">
        <v>99</v>
      </c>
      <c r="F3342" s="518">
        <v>20</v>
      </c>
      <c r="G3342" s="274"/>
      <c r="H3342" s="275"/>
    </row>
    <row r="3343" spans="2:8" ht="14.25">
      <c r="B3343" s="183" t="s">
        <v>4359</v>
      </c>
      <c r="C3343" s="519"/>
      <c r="D3343" s="520" t="s">
        <v>4360</v>
      </c>
      <c r="E3343" s="521" t="s">
        <v>209</v>
      </c>
      <c r="F3343" s="518">
        <v>50</v>
      </c>
      <c r="G3343" s="274"/>
      <c r="H3343" s="275"/>
    </row>
    <row r="3344" spans="2:8" ht="14.25">
      <c r="B3344" s="183" t="s">
        <v>4361</v>
      </c>
      <c r="C3344" s="519"/>
      <c r="D3344" s="520" t="s">
        <v>3606</v>
      </c>
      <c r="E3344" s="521" t="s">
        <v>309</v>
      </c>
      <c r="F3344" s="518">
        <v>1</v>
      </c>
      <c r="G3344" s="274"/>
      <c r="H3344" s="275"/>
    </row>
    <row r="3345" spans="2:8" ht="14.25">
      <c r="B3345" s="183" t="s">
        <v>4362</v>
      </c>
      <c r="C3345" s="519"/>
      <c r="D3345" s="524" t="s">
        <v>3662</v>
      </c>
      <c r="E3345" s="521"/>
      <c r="F3345" s="518"/>
      <c r="G3345" s="274"/>
      <c r="H3345" s="275"/>
    </row>
    <row r="3346" spans="2:8" ht="14.25">
      <c r="B3346" s="183" t="s">
        <v>4363</v>
      </c>
      <c r="C3346" s="519"/>
      <c r="D3346" s="520" t="s">
        <v>3718</v>
      </c>
      <c r="E3346" s="521" t="s">
        <v>209</v>
      </c>
      <c r="F3346" s="518">
        <v>20</v>
      </c>
      <c r="G3346" s="274"/>
      <c r="H3346" s="275"/>
    </row>
    <row r="3347" spans="2:8" ht="14.25">
      <c r="B3347" s="183" t="s">
        <v>4364</v>
      </c>
      <c r="C3347" s="519"/>
      <c r="D3347" s="520" t="s">
        <v>3666</v>
      </c>
      <c r="E3347" s="521" t="s">
        <v>309</v>
      </c>
      <c r="F3347" s="518">
        <v>1</v>
      </c>
      <c r="G3347" s="274"/>
      <c r="H3347" s="275"/>
    </row>
    <row r="3348" spans="2:8" ht="43.5">
      <c r="B3348" s="186" t="s">
        <v>4365</v>
      </c>
      <c r="C3348" s="312"/>
      <c r="D3348" s="313" t="s">
        <v>4366</v>
      </c>
      <c r="E3348" s="314"/>
      <c r="F3348" s="283"/>
      <c r="G3348" s="233"/>
      <c r="H3348" s="234"/>
    </row>
    <row r="3349" spans="2:8" ht="14.25">
      <c r="B3349" s="183" t="s">
        <v>4367</v>
      </c>
      <c r="C3349" s="519"/>
      <c r="D3349" s="524" t="s">
        <v>4345</v>
      </c>
      <c r="E3349" s="521"/>
      <c r="F3349" s="518"/>
      <c r="G3349" s="522"/>
      <c r="H3349" s="523"/>
    </row>
    <row r="3350" spans="2:8" ht="14.25">
      <c r="B3350" s="183" t="s">
        <v>4368</v>
      </c>
      <c r="C3350" s="519"/>
      <c r="D3350" s="520" t="s">
        <v>4369</v>
      </c>
      <c r="E3350" s="521" t="s">
        <v>209</v>
      </c>
      <c r="F3350" s="518">
        <v>120</v>
      </c>
      <c r="G3350" s="522"/>
      <c r="H3350" s="523"/>
    </row>
    <row r="3351" spans="2:8" ht="14.25">
      <c r="B3351" s="183" t="s">
        <v>4370</v>
      </c>
      <c r="C3351" s="519"/>
      <c r="D3351" s="520" t="s">
        <v>4371</v>
      </c>
      <c r="E3351" s="521" t="s">
        <v>209</v>
      </c>
      <c r="F3351" s="518">
        <v>120</v>
      </c>
      <c r="G3351" s="522"/>
      <c r="H3351" s="523"/>
    </row>
    <row r="3352" spans="2:8" ht="14.25">
      <c r="B3352" s="183" t="s">
        <v>4372</v>
      </c>
      <c r="C3352" s="519"/>
      <c r="D3352" s="520" t="s">
        <v>4349</v>
      </c>
      <c r="E3352" s="521" t="s">
        <v>209</v>
      </c>
      <c r="F3352" s="518">
        <v>100</v>
      </c>
      <c r="G3352" s="522"/>
      <c r="H3352" s="523"/>
    </row>
    <row r="3353" spans="2:8" ht="14.25">
      <c r="B3353" s="183" t="s">
        <v>4373</v>
      </c>
      <c r="C3353" s="519"/>
      <c r="D3353" s="520" t="s">
        <v>4351</v>
      </c>
      <c r="E3353" s="521" t="s">
        <v>309</v>
      </c>
      <c r="F3353" s="518">
        <v>1</v>
      </c>
      <c r="G3353" s="522"/>
      <c r="H3353" s="523"/>
    </row>
    <row r="3354" spans="2:8" ht="14.25">
      <c r="B3354" s="183" t="s">
        <v>4374</v>
      </c>
      <c r="C3354" s="519"/>
      <c r="D3354" s="524" t="s">
        <v>4375</v>
      </c>
      <c r="E3354" s="521"/>
      <c r="F3354" s="518"/>
      <c r="G3354" s="522"/>
      <c r="H3354" s="523"/>
    </row>
    <row r="3355" spans="2:8" ht="14.25">
      <c r="B3355" s="183" t="s">
        <v>4376</v>
      </c>
      <c r="C3355" s="519"/>
      <c r="D3355" s="520" t="s">
        <v>4377</v>
      </c>
      <c r="E3355" s="521" t="s">
        <v>209</v>
      </c>
      <c r="F3355" s="518">
        <v>50</v>
      </c>
      <c r="G3355" s="522"/>
      <c r="H3355" s="523"/>
    </row>
    <row r="3356" spans="2:8" ht="14.25">
      <c r="B3356" s="183" t="s">
        <v>4378</v>
      </c>
      <c r="C3356" s="519"/>
      <c r="D3356" s="520" t="s">
        <v>4379</v>
      </c>
      <c r="E3356" s="521" t="s">
        <v>209</v>
      </c>
      <c r="F3356" s="518">
        <v>50</v>
      </c>
      <c r="G3356" s="522"/>
      <c r="H3356" s="523"/>
    </row>
    <row r="3357" spans="2:8" ht="14.25">
      <c r="B3357" s="183" t="s">
        <v>4380</v>
      </c>
      <c r="C3357" s="519"/>
      <c r="D3357" s="520" t="s">
        <v>4355</v>
      </c>
      <c r="E3357" s="521" t="s">
        <v>209</v>
      </c>
      <c r="F3357" s="518">
        <v>190</v>
      </c>
      <c r="G3357" s="522"/>
      <c r="H3357" s="523"/>
    </row>
    <row r="3358" spans="2:8" ht="14.25">
      <c r="B3358" s="183" t="s">
        <v>4381</v>
      </c>
      <c r="C3358" s="519"/>
      <c r="D3358" s="520" t="s">
        <v>4382</v>
      </c>
      <c r="E3358" s="521" t="s">
        <v>209</v>
      </c>
      <c r="F3358" s="518">
        <v>190</v>
      </c>
      <c r="G3358" s="522"/>
      <c r="H3358" s="523"/>
    </row>
    <row r="3359" spans="2:8" ht="14.25">
      <c r="B3359" s="183" t="s">
        <v>4383</v>
      </c>
      <c r="C3359" s="519"/>
      <c r="D3359" s="520" t="s">
        <v>4358</v>
      </c>
      <c r="E3359" s="521" t="s">
        <v>99</v>
      </c>
      <c r="F3359" s="518">
        <v>50</v>
      </c>
      <c r="G3359" s="522"/>
      <c r="H3359" s="523"/>
    </row>
    <row r="3360" spans="2:8" ht="14.25">
      <c r="B3360" s="183" t="s">
        <v>4384</v>
      </c>
      <c r="C3360" s="519"/>
      <c r="D3360" s="520" t="s">
        <v>4360</v>
      </c>
      <c r="E3360" s="521" t="s">
        <v>209</v>
      </c>
      <c r="F3360" s="518">
        <v>30</v>
      </c>
      <c r="G3360" s="522"/>
      <c r="H3360" s="523"/>
    </row>
    <row r="3361" spans="2:8" ht="14.25">
      <c r="B3361" s="183" t="s">
        <v>4385</v>
      </c>
      <c r="C3361" s="519"/>
      <c r="D3361" s="520" t="s">
        <v>3606</v>
      </c>
      <c r="E3361" s="521" t="s">
        <v>309</v>
      </c>
      <c r="F3361" s="518">
        <v>1</v>
      </c>
      <c r="G3361" s="522"/>
      <c r="H3361" s="523"/>
    </row>
    <row r="3362" spans="2:8" ht="14.25">
      <c r="B3362" s="183" t="s">
        <v>4386</v>
      </c>
      <c r="C3362" s="519"/>
      <c r="D3362" s="524" t="s">
        <v>3662</v>
      </c>
      <c r="E3362" s="521"/>
      <c r="F3362" s="518"/>
      <c r="G3362" s="522"/>
      <c r="H3362" s="523"/>
    </row>
    <row r="3363" spans="2:8" ht="14.25">
      <c r="B3363" s="183" t="s">
        <v>4387</v>
      </c>
      <c r="C3363" s="519"/>
      <c r="D3363" s="520" t="s">
        <v>3718</v>
      </c>
      <c r="E3363" s="521" t="s">
        <v>209</v>
      </c>
      <c r="F3363" s="518">
        <v>20</v>
      </c>
      <c r="G3363" s="522"/>
      <c r="H3363" s="523"/>
    </row>
    <row r="3364" spans="2:8" ht="14.25">
      <c r="B3364" s="183" t="s">
        <v>4388</v>
      </c>
      <c r="C3364" s="519"/>
      <c r="D3364" s="520" t="s">
        <v>3666</v>
      </c>
      <c r="E3364" s="521" t="s">
        <v>309</v>
      </c>
      <c r="F3364" s="518">
        <v>1</v>
      </c>
      <c r="G3364" s="522"/>
      <c r="H3364" s="523"/>
    </row>
    <row r="3365" spans="2:8" ht="43.5">
      <c r="B3365" s="186" t="s">
        <v>4389</v>
      </c>
      <c r="C3365" s="312"/>
      <c r="D3365" s="313" t="s">
        <v>4390</v>
      </c>
      <c r="E3365" s="314"/>
      <c r="F3365" s="283"/>
      <c r="G3365" s="233"/>
      <c r="H3365" s="234"/>
    </row>
    <row r="3366" spans="2:8" ht="14.25">
      <c r="B3366" s="183" t="s">
        <v>4391</v>
      </c>
      <c r="C3366" s="519"/>
      <c r="D3366" s="524" t="s">
        <v>4345</v>
      </c>
      <c r="E3366" s="521"/>
      <c r="F3366" s="518"/>
      <c r="G3366" s="522"/>
      <c r="H3366" s="523"/>
    </row>
    <row r="3367" spans="2:8" ht="14.25">
      <c r="B3367" s="183" t="s">
        <v>4392</v>
      </c>
      <c r="C3367" s="519"/>
      <c r="D3367" s="520" t="s">
        <v>4166</v>
      </c>
      <c r="E3367" s="521" t="s">
        <v>209</v>
      </c>
      <c r="F3367" s="518">
        <v>30</v>
      </c>
      <c r="G3367" s="522"/>
      <c r="H3367" s="523"/>
    </row>
    <row r="3368" spans="2:8" ht="14.25">
      <c r="B3368" s="183" t="s">
        <v>4393</v>
      </c>
      <c r="C3368" s="519"/>
      <c r="D3368" s="520" t="s">
        <v>4394</v>
      </c>
      <c r="E3368" s="521" t="s">
        <v>209</v>
      </c>
      <c r="F3368" s="518">
        <v>30</v>
      </c>
      <c r="G3368" s="522"/>
      <c r="H3368" s="523"/>
    </row>
    <row r="3369" spans="2:8" ht="14.25">
      <c r="B3369" s="183" t="s">
        <v>4395</v>
      </c>
      <c r="C3369" s="519"/>
      <c r="D3369" s="520" t="s">
        <v>4358</v>
      </c>
      <c r="E3369" s="521" t="s">
        <v>99</v>
      </c>
      <c r="F3369" s="518">
        <v>15</v>
      </c>
      <c r="G3369" s="522"/>
      <c r="H3369" s="523"/>
    </row>
    <row r="3370" spans="2:8" ht="14.25">
      <c r="B3370" s="183" t="s">
        <v>4396</v>
      </c>
      <c r="C3370" s="519"/>
      <c r="D3370" s="520" t="s">
        <v>4360</v>
      </c>
      <c r="E3370" s="521" t="s">
        <v>209</v>
      </c>
      <c r="F3370" s="518">
        <v>80</v>
      </c>
      <c r="G3370" s="522"/>
      <c r="H3370" s="523"/>
    </row>
    <row r="3371" spans="2:8" ht="14.25">
      <c r="B3371" s="183" t="s">
        <v>4397</v>
      </c>
      <c r="C3371" s="519"/>
      <c r="D3371" s="520" t="s">
        <v>3606</v>
      </c>
      <c r="E3371" s="521" t="s">
        <v>309</v>
      </c>
      <c r="F3371" s="518">
        <v>1</v>
      </c>
      <c r="G3371" s="522"/>
      <c r="H3371" s="523"/>
    </row>
    <row r="3372" spans="2:8" ht="14.25">
      <c r="B3372" s="183" t="s">
        <v>4398</v>
      </c>
      <c r="C3372" s="519"/>
      <c r="D3372" s="524" t="s">
        <v>4399</v>
      </c>
      <c r="E3372" s="521"/>
      <c r="F3372" s="518"/>
      <c r="G3372" s="522"/>
      <c r="H3372" s="523"/>
    </row>
    <row r="3373" spans="2:8" ht="14.25">
      <c r="B3373" s="183" t="s">
        <v>4400</v>
      </c>
      <c r="C3373" s="519"/>
      <c r="D3373" s="520" t="s">
        <v>4401</v>
      </c>
      <c r="E3373" s="521" t="s">
        <v>209</v>
      </c>
      <c r="F3373" s="518">
        <v>90</v>
      </c>
      <c r="G3373" s="522"/>
      <c r="H3373" s="523"/>
    </row>
    <row r="3374" spans="2:8" ht="14.25">
      <c r="B3374" s="183" t="s">
        <v>4402</v>
      </c>
      <c r="C3374" s="519"/>
      <c r="D3374" s="520" t="s">
        <v>4403</v>
      </c>
      <c r="E3374" s="521" t="s">
        <v>209</v>
      </c>
      <c r="F3374" s="518">
        <v>90</v>
      </c>
      <c r="G3374" s="522"/>
      <c r="H3374" s="523"/>
    </row>
    <row r="3375" spans="2:8" ht="14.25">
      <c r="B3375" s="183" t="s">
        <v>4404</v>
      </c>
      <c r="C3375" s="519"/>
      <c r="D3375" s="520" t="s">
        <v>4349</v>
      </c>
      <c r="E3375" s="521" t="s">
        <v>209</v>
      </c>
      <c r="F3375" s="518">
        <v>90</v>
      </c>
      <c r="G3375" s="522"/>
      <c r="H3375" s="523"/>
    </row>
    <row r="3376" spans="2:8" ht="14.25">
      <c r="B3376" s="183" t="s">
        <v>4404</v>
      </c>
      <c r="C3376" s="519"/>
      <c r="D3376" s="520" t="s">
        <v>4351</v>
      </c>
      <c r="E3376" s="521" t="s">
        <v>309</v>
      </c>
      <c r="F3376" s="518">
        <v>1</v>
      </c>
      <c r="G3376" s="522"/>
      <c r="H3376" s="523"/>
    </row>
    <row r="3377" spans="2:8" ht="14.25">
      <c r="B3377" s="183" t="s">
        <v>4405</v>
      </c>
      <c r="C3377" s="519"/>
      <c r="D3377" s="524" t="s">
        <v>3662</v>
      </c>
      <c r="E3377" s="521"/>
      <c r="F3377" s="518"/>
      <c r="G3377" s="522"/>
      <c r="H3377" s="523"/>
    </row>
    <row r="3378" spans="2:8" ht="14.25">
      <c r="B3378" s="183" t="s">
        <v>4406</v>
      </c>
      <c r="C3378" s="519"/>
      <c r="D3378" s="520" t="s">
        <v>3718</v>
      </c>
      <c r="E3378" s="521" t="s">
        <v>209</v>
      </c>
      <c r="F3378" s="518">
        <v>60</v>
      </c>
      <c r="G3378" s="522"/>
      <c r="H3378" s="523"/>
    </row>
    <row r="3379" spans="2:8" ht="14.25">
      <c r="B3379" s="183" t="s">
        <v>4407</v>
      </c>
      <c r="C3379" s="519"/>
      <c r="D3379" s="520" t="s">
        <v>3666</v>
      </c>
      <c r="E3379" s="521" t="s">
        <v>309</v>
      </c>
      <c r="F3379" s="518">
        <v>1</v>
      </c>
      <c r="G3379" s="522"/>
      <c r="H3379" s="523"/>
    </row>
    <row r="3380" spans="2:8" ht="15">
      <c r="B3380" s="186" t="s">
        <v>4408</v>
      </c>
      <c r="C3380" s="312"/>
      <c r="D3380" s="313" t="s">
        <v>4409</v>
      </c>
      <c r="E3380" s="314"/>
      <c r="F3380" s="283"/>
      <c r="G3380" s="233"/>
      <c r="H3380" s="234"/>
    </row>
    <row r="3381" spans="2:8" ht="14.25">
      <c r="B3381" s="129" t="s">
        <v>4410</v>
      </c>
      <c r="C3381" s="368"/>
      <c r="D3381" s="390" t="s">
        <v>4411</v>
      </c>
      <c r="E3381" s="387" t="s">
        <v>209</v>
      </c>
      <c r="F3381" s="388">
        <v>200</v>
      </c>
      <c r="G3381" s="522"/>
      <c r="H3381" s="523"/>
    </row>
    <row r="3382" spans="2:8" ht="14.25">
      <c r="B3382" s="129" t="s">
        <v>4412</v>
      </c>
      <c r="C3382" s="368"/>
      <c r="D3382" s="390" t="s">
        <v>4413</v>
      </c>
      <c r="E3382" s="387" t="s">
        <v>209</v>
      </c>
      <c r="F3382" s="388">
        <v>100</v>
      </c>
      <c r="G3382" s="522"/>
      <c r="H3382" s="523"/>
    </row>
    <row r="3383" spans="2:8" ht="14.25">
      <c r="B3383" s="129" t="s">
        <v>4414</v>
      </c>
      <c r="C3383" s="368"/>
      <c r="D3383" s="390" t="s">
        <v>4415</v>
      </c>
      <c r="E3383" s="387" t="s">
        <v>99</v>
      </c>
      <c r="F3383" s="388">
        <v>20</v>
      </c>
      <c r="G3383" s="522"/>
      <c r="H3383" s="523"/>
    </row>
    <row r="3384" spans="2:8" ht="14.25">
      <c r="B3384" s="129" t="s">
        <v>4416</v>
      </c>
      <c r="C3384" s="368"/>
      <c r="D3384" s="391" t="s">
        <v>4417</v>
      </c>
      <c r="E3384" s="387" t="s">
        <v>99</v>
      </c>
      <c r="F3384" s="392">
        <v>30</v>
      </c>
      <c r="G3384" s="522"/>
      <c r="H3384" s="523"/>
    </row>
    <row r="3385" spans="2:8" ht="14.25">
      <c r="B3385" s="129" t="s">
        <v>4418</v>
      </c>
      <c r="C3385" s="368"/>
      <c r="D3385" s="390" t="s">
        <v>4419</v>
      </c>
      <c r="E3385" s="387" t="s">
        <v>99</v>
      </c>
      <c r="F3385" s="388">
        <v>4</v>
      </c>
      <c r="G3385" s="522"/>
      <c r="H3385" s="523"/>
    </row>
    <row r="3386" spans="2:8" ht="14.25">
      <c r="B3386" s="129" t="s">
        <v>4420</v>
      </c>
      <c r="C3386" s="368"/>
      <c r="D3386" s="391" t="s">
        <v>4421</v>
      </c>
      <c r="E3386" s="387" t="s">
        <v>99</v>
      </c>
      <c r="F3386" s="392">
        <v>2</v>
      </c>
      <c r="G3386" s="522"/>
      <c r="H3386" s="523"/>
    </row>
    <row r="3387" spans="2:8" ht="14.25">
      <c r="B3387" s="129" t="s">
        <v>4422</v>
      </c>
      <c r="C3387" s="368"/>
      <c r="D3387" s="390" t="s">
        <v>4423</v>
      </c>
      <c r="E3387" s="387" t="s">
        <v>99</v>
      </c>
      <c r="F3387" s="388">
        <v>1</v>
      </c>
      <c r="G3387" s="522"/>
      <c r="H3387" s="523"/>
    </row>
    <row r="3388" spans="2:8" ht="14.25">
      <c r="B3388" s="129" t="s">
        <v>4424</v>
      </c>
      <c r="C3388" s="368"/>
      <c r="D3388" s="391" t="s">
        <v>4425</v>
      </c>
      <c r="E3388" s="387" t="s">
        <v>99</v>
      </c>
      <c r="F3388" s="392">
        <v>4</v>
      </c>
      <c r="G3388" s="522"/>
      <c r="H3388" s="523"/>
    </row>
    <row r="3389" spans="2:8" ht="14.25">
      <c r="B3389" s="129" t="s">
        <v>4426</v>
      </c>
      <c r="C3389" s="368"/>
      <c r="D3389" s="390" t="s">
        <v>4427</v>
      </c>
      <c r="E3389" s="387" t="s">
        <v>99</v>
      </c>
      <c r="F3389" s="392">
        <v>1</v>
      </c>
      <c r="G3389" s="522"/>
      <c r="H3389" s="523"/>
    </row>
    <row r="3390" spans="2:8" ht="14.25">
      <c r="B3390" s="129" t="s">
        <v>4428</v>
      </c>
      <c r="C3390" s="368"/>
      <c r="D3390" s="390" t="s">
        <v>4429</v>
      </c>
      <c r="E3390" s="387" t="s">
        <v>309</v>
      </c>
      <c r="F3390" s="392">
        <v>1</v>
      </c>
      <c r="G3390" s="522"/>
      <c r="H3390" s="523"/>
    </row>
    <row r="3391" spans="2:8" ht="15">
      <c r="B3391" s="186" t="s">
        <v>4430</v>
      </c>
      <c r="C3391" s="312"/>
      <c r="D3391" s="313" t="s">
        <v>4431</v>
      </c>
      <c r="E3391" s="314"/>
      <c r="F3391" s="283"/>
      <c r="G3391" s="233"/>
      <c r="H3391" s="234"/>
    </row>
    <row r="3392" spans="2:8" ht="14.25">
      <c r="B3392" s="129" t="s">
        <v>4432</v>
      </c>
      <c r="C3392" s="368"/>
      <c r="D3392" s="385" t="s">
        <v>3715</v>
      </c>
      <c r="E3392" s="189" t="s">
        <v>209</v>
      </c>
      <c r="F3392" s="384">
        <v>150</v>
      </c>
      <c r="G3392" s="274"/>
      <c r="H3392" s="275"/>
    </row>
    <row r="3393" spans="2:8" ht="14.25">
      <c r="B3393" s="129" t="s">
        <v>4433</v>
      </c>
      <c r="C3393" s="368"/>
      <c r="D3393" s="385" t="s">
        <v>3717</v>
      </c>
      <c r="E3393" s="189" t="s">
        <v>209</v>
      </c>
      <c r="F3393" s="384">
        <v>220</v>
      </c>
      <c r="G3393" s="274"/>
      <c r="H3393" s="275"/>
    </row>
    <row r="3394" spans="2:8" ht="14.25">
      <c r="B3394" s="129" t="s">
        <v>4434</v>
      </c>
      <c r="C3394" s="368"/>
      <c r="D3394" s="385" t="s">
        <v>3718</v>
      </c>
      <c r="E3394" s="189" t="s">
        <v>209</v>
      </c>
      <c r="F3394" s="384">
        <v>170</v>
      </c>
      <c r="G3394" s="274"/>
      <c r="H3394" s="275"/>
    </row>
    <row r="3395" spans="2:8" ht="14.25">
      <c r="B3395" s="129" t="s">
        <v>4435</v>
      </c>
      <c r="C3395" s="368"/>
      <c r="D3395" s="385" t="s">
        <v>3666</v>
      </c>
      <c r="E3395" s="189" t="s">
        <v>309</v>
      </c>
      <c r="F3395" s="384">
        <v>1</v>
      </c>
      <c r="G3395" s="274"/>
      <c r="H3395" s="275"/>
    </row>
    <row r="3396" spans="2:8" ht="15">
      <c r="B3396" s="186" t="s">
        <v>4436</v>
      </c>
      <c r="C3396" s="312"/>
      <c r="D3396" s="313" t="s">
        <v>4437</v>
      </c>
      <c r="E3396" s="314"/>
      <c r="F3396" s="283"/>
      <c r="G3396" s="233"/>
      <c r="H3396" s="234"/>
    </row>
    <row r="3397" spans="2:8" ht="14.25">
      <c r="B3397" s="183" t="s">
        <v>4432</v>
      </c>
      <c r="C3397" s="519"/>
      <c r="D3397" s="520" t="s">
        <v>3715</v>
      </c>
      <c r="E3397" s="521" t="s">
        <v>209</v>
      </c>
      <c r="F3397" s="518">
        <v>150</v>
      </c>
      <c r="G3397" s="522"/>
      <c r="H3397" s="523"/>
    </row>
    <row r="3398" spans="2:8" ht="14.25">
      <c r="B3398" s="183" t="s">
        <v>4433</v>
      </c>
      <c r="C3398" s="519"/>
      <c r="D3398" s="520" t="s">
        <v>3717</v>
      </c>
      <c r="E3398" s="521" t="s">
        <v>209</v>
      </c>
      <c r="F3398" s="518">
        <v>220</v>
      </c>
      <c r="G3398" s="522"/>
      <c r="H3398" s="523"/>
    </row>
    <row r="3399" spans="2:8" ht="14.25">
      <c r="B3399" s="183" t="s">
        <v>4434</v>
      </c>
      <c r="C3399" s="519"/>
      <c r="D3399" s="520" t="s">
        <v>3718</v>
      </c>
      <c r="E3399" s="521" t="s">
        <v>209</v>
      </c>
      <c r="F3399" s="518">
        <v>170</v>
      </c>
      <c r="G3399" s="522"/>
      <c r="H3399" s="523"/>
    </row>
    <row r="3400" spans="2:8" ht="15" thickBot="1">
      <c r="B3400" s="183" t="s">
        <v>4435</v>
      </c>
      <c r="C3400" s="519"/>
      <c r="D3400" s="520" t="s">
        <v>3666</v>
      </c>
      <c r="E3400" s="521" t="s">
        <v>309</v>
      </c>
      <c r="F3400" s="518">
        <v>1</v>
      </c>
      <c r="G3400" s="522"/>
      <c r="H3400" s="523"/>
    </row>
    <row r="3401" spans="2:8" ht="16.5" thickBot="1">
      <c r="B3401" s="479" t="s">
        <v>4438</v>
      </c>
      <c r="C3401" s="480" t="s">
        <v>4439</v>
      </c>
      <c r="D3401" s="481" t="s">
        <v>4440</v>
      </c>
      <c r="E3401" s="482"/>
      <c r="F3401" s="483"/>
      <c r="G3401" s="484"/>
      <c r="H3401" s="485"/>
    </row>
    <row r="3402" spans="2:8" ht="15">
      <c r="B3402" s="486" t="s">
        <v>4441</v>
      </c>
      <c r="C3402" s="487" t="s">
        <v>4442</v>
      </c>
      <c r="D3402" s="488" t="s">
        <v>4443</v>
      </c>
      <c r="E3402" s="489"/>
      <c r="F3402" s="490"/>
      <c r="G3402" s="491"/>
      <c r="H3402" s="492"/>
    </row>
    <row r="3403" spans="2:8" ht="14.25">
      <c r="B3403" s="129" t="s">
        <v>4444</v>
      </c>
      <c r="C3403" s="368"/>
      <c r="D3403" s="385" t="s">
        <v>4445</v>
      </c>
      <c r="E3403" s="198" t="s">
        <v>99</v>
      </c>
      <c r="F3403" s="188">
        <v>25</v>
      </c>
      <c r="G3403" s="274"/>
      <c r="H3403" s="275"/>
    </row>
    <row r="3404" spans="2:8" ht="14.25">
      <c r="B3404" s="129" t="s">
        <v>4446</v>
      </c>
      <c r="C3404" s="368"/>
      <c r="D3404" s="385" t="s">
        <v>4447</v>
      </c>
      <c r="E3404" s="198" t="s">
        <v>99</v>
      </c>
      <c r="F3404" s="188">
        <v>1</v>
      </c>
      <c r="G3404" s="274"/>
      <c r="H3404" s="275"/>
    </row>
    <row r="3405" spans="2:8" ht="38.25">
      <c r="B3405" s="129" t="s">
        <v>4448</v>
      </c>
      <c r="C3405" s="368"/>
      <c r="D3405" s="385" t="s">
        <v>4449</v>
      </c>
      <c r="E3405" s="198" t="s">
        <v>99</v>
      </c>
      <c r="F3405" s="188">
        <v>1012</v>
      </c>
      <c r="G3405" s="274"/>
      <c r="H3405" s="275"/>
    </row>
    <row r="3406" spans="2:8" ht="14.25">
      <c r="B3406" s="129" t="s">
        <v>4450</v>
      </c>
      <c r="C3406" s="368"/>
      <c r="D3406" s="385" t="s">
        <v>4451</v>
      </c>
      <c r="E3406" s="198" t="s">
        <v>99</v>
      </c>
      <c r="F3406" s="188">
        <v>324</v>
      </c>
      <c r="G3406" s="274"/>
      <c r="H3406" s="275"/>
    </row>
    <row r="3407" spans="2:8" ht="14.25">
      <c r="B3407" s="129" t="s">
        <v>4452</v>
      </c>
      <c r="C3407" s="368"/>
      <c r="D3407" s="385" t="s">
        <v>4453</v>
      </c>
      <c r="E3407" s="198" t="s">
        <v>209</v>
      </c>
      <c r="F3407" s="188">
        <v>2831.14</v>
      </c>
      <c r="G3407" s="274"/>
      <c r="H3407" s="275"/>
    </row>
    <row r="3408" spans="2:8" ht="14.25">
      <c r="B3408" s="129" t="s">
        <v>4454</v>
      </c>
      <c r="C3408" s="368"/>
      <c r="D3408" s="385" t="s">
        <v>4455</v>
      </c>
      <c r="E3408" s="198" t="s">
        <v>209</v>
      </c>
      <c r="F3408" s="188">
        <v>173.3</v>
      </c>
      <c r="G3408" s="274"/>
      <c r="H3408" s="275"/>
    </row>
    <row r="3409" spans="2:8" ht="14.25">
      <c r="B3409" s="129" t="s">
        <v>4456</v>
      </c>
      <c r="C3409" s="368"/>
      <c r="D3409" s="385" t="s">
        <v>4457</v>
      </c>
      <c r="E3409" s="198" t="s">
        <v>209</v>
      </c>
      <c r="F3409" s="188">
        <v>18.38</v>
      </c>
      <c r="G3409" s="274"/>
      <c r="H3409" s="275"/>
    </row>
    <row r="3410" spans="2:8" ht="14.25">
      <c r="B3410" s="129" t="s">
        <v>4458</v>
      </c>
      <c r="C3410" s="368"/>
      <c r="D3410" s="385" t="s">
        <v>4459</v>
      </c>
      <c r="E3410" s="198" t="s">
        <v>209</v>
      </c>
      <c r="F3410" s="188">
        <v>163.05000000000001</v>
      </c>
      <c r="G3410" s="274"/>
      <c r="H3410" s="275"/>
    </row>
    <row r="3411" spans="2:8" ht="14.25">
      <c r="B3411" s="129" t="s">
        <v>4460</v>
      </c>
      <c r="C3411" s="368"/>
      <c r="D3411" s="385" t="s">
        <v>4461</v>
      </c>
      <c r="E3411" s="198" t="s">
        <v>209</v>
      </c>
      <c r="F3411" s="188">
        <v>2933.14</v>
      </c>
      <c r="G3411" s="274"/>
      <c r="H3411" s="275"/>
    </row>
    <row r="3412" spans="2:8" ht="14.25">
      <c r="B3412" s="129" t="s">
        <v>4462</v>
      </c>
      <c r="C3412" s="368"/>
      <c r="D3412" s="385" t="s">
        <v>4463</v>
      </c>
      <c r="E3412" s="198" t="s">
        <v>99</v>
      </c>
      <c r="F3412" s="188">
        <v>1336</v>
      </c>
      <c r="G3412" s="274"/>
      <c r="H3412" s="275"/>
    </row>
    <row r="3413" spans="2:8" ht="14.25">
      <c r="B3413" s="129" t="s">
        <v>4464</v>
      </c>
      <c r="C3413" s="368"/>
      <c r="D3413" s="385" t="s">
        <v>4465</v>
      </c>
      <c r="E3413" s="198" t="s">
        <v>99</v>
      </c>
      <c r="F3413" s="188">
        <v>376</v>
      </c>
      <c r="G3413" s="274"/>
      <c r="H3413" s="275"/>
    </row>
    <row r="3414" spans="2:8" ht="14.25">
      <c r="B3414" s="129" t="s">
        <v>4466</v>
      </c>
      <c r="C3414" s="368"/>
      <c r="D3414" s="385" t="s">
        <v>4467</v>
      </c>
      <c r="E3414" s="198" t="s">
        <v>99</v>
      </c>
      <c r="F3414" s="188">
        <v>710</v>
      </c>
      <c r="G3414" s="274"/>
      <c r="H3414" s="275"/>
    </row>
    <row r="3415" spans="2:8" ht="14.25">
      <c r="B3415" s="129" t="s">
        <v>4468</v>
      </c>
      <c r="C3415" s="368"/>
      <c r="D3415" s="385" t="s">
        <v>4469</v>
      </c>
      <c r="E3415" s="198" t="s">
        <v>99</v>
      </c>
      <c r="F3415" s="188">
        <v>376</v>
      </c>
      <c r="G3415" s="274"/>
      <c r="H3415" s="275"/>
    </row>
    <row r="3416" spans="2:8" ht="14.25">
      <c r="B3416" s="129" t="s">
        <v>4470</v>
      </c>
      <c r="C3416" s="368"/>
      <c r="D3416" s="385" t="s">
        <v>4471</v>
      </c>
      <c r="E3416" s="198" t="s">
        <v>99</v>
      </c>
      <c r="F3416" s="188">
        <v>24</v>
      </c>
      <c r="G3416" s="274"/>
      <c r="H3416" s="275"/>
    </row>
    <row r="3417" spans="2:8" ht="14.25">
      <c r="B3417" s="129" t="s">
        <v>4472</v>
      </c>
      <c r="C3417" s="368"/>
      <c r="D3417" s="385" t="s">
        <v>4473</v>
      </c>
      <c r="E3417" s="198" t="s">
        <v>99</v>
      </c>
      <c r="F3417" s="188">
        <v>606</v>
      </c>
      <c r="G3417" s="274"/>
      <c r="H3417" s="275"/>
    </row>
    <row r="3418" spans="2:8" ht="14.25">
      <c r="B3418" s="129" t="s">
        <v>4474</v>
      </c>
      <c r="C3418" s="368"/>
      <c r="D3418" s="385" t="s">
        <v>4475</v>
      </c>
      <c r="E3418" s="198" t="s">
        <v>99</v>
      </c>
      <c r="F3418" s="188">
        <v>1336</v>
      </c>
      <c r="G3418" s="274"/>
      <c r="H3418" s="275"/>
    </row>
    <row r="3419" spans="2:8" ht="14.25">
      <c r="B3419" s="129" t="s">
        <v>4476</v>
      </c>
      <c r="C3419" s="368"/>
      <c r="D3419" s="385" t="s">
        <v>4477</v>
      </c>
      <c r="E3419" s="198" t="s">
        <v>99</v>
      </c>
      <c r="F3419" s="188">
        <v>472</v>
      </c>
      <c r="G3419" s="274"/>
      <c r="H3419" s="275"/>
    </row>
    <row r="3420" spans="2:8" ht="14.25">
      <c r="B3420" s="129" t="s">
        <v>4478</v>
      </c>
      <c r="C3420" s="368"/>
      <c r="D3420" s="385" t="s">
        <v>4479</v>
      </c>
      <c r="E3420" s="198" t="s">
        <v>99</v>
      </c>
      <c r="F3420" s="188">
        <v>29</v>
      </c>
      <c r="G3420" s="274"/>
      <c r="H3420" s="275"/>
    </row>
    <row r="3421" spans="2:8" ht="14.25">
      <c r="B3421" s="129" t="s">
        <v>4480</v>
      </c>
      <c r="C3421" s="368"/>
      <c r="D3421" s="385" t="s">
        <v>4481</v>
      </c>
      <c r="E3421" s="198" t="s">
        <v>99</v>
      </c>
      <c r="F3421" s="188">
        <v>4</v>
      </c>
      <c r="G3421" s="274"/>
      <c r="H3421" s="275"/>
    </row>
    <row r="3422" spans="2:8" ht="14.25">
      <c r="B3422" s="129" t="s">
        <v>4482</v>
      </c>
      <c r="C3422" s="368"/>
      <c r="D3422" s="385" t="s">
        <v>4483</v>
      </c>
      <c r="E3422" s="198" t="s">
        <v>99</v>
      </c>
      <c r="F3422" s="188">
        <v>24</v>
      </c>
      <c r="G3422" s="274"/>
      <c r="H3422" s="275"/>
    </row>
    <row r="3423" spans="2:8" ht="14.25">
      <c r="B3423" s="129" t="s">
        <v>4484</v>
      </c>
      <c r="C3423" s="368"/>
      <c r="D3423" s="385" t="s">
        <v>4485</v>
      </c>
      <c r="E3423" s="198" t="s">
        <v>99</v>
      </c>
      <c r="F3423" s="188">
        <v>8</v>
      </c>
      <c r="G3423" s="274"/>
      <c r="H3423" s="275"/>
    </row>
    <row r="3424" spans="2:8" ht="14.25">
      <c r="B3424" s="129" t="s">
        <v>4486</v>
      </c>
      <c r="C3424" s="368"/>
      <c r="D3424" s="385" t="s">
        <v>4487</v>
      </c>
      <c r="E3424" s="198" t="s">
        <v>99</v>
      </c>
      <c r="F3424" s="188">
        <v>8</v>
      </c>
      <c r="G3424" s="274"/>
      <c r="H3424" s="275"/>
    </row>
    <row r="3425" spans="2:8" ht="63.75">
      <c r="B3425" s="129" t="s">
        <v>4488</v>
      </c>
      <c r="C3425" s="368"/>
      <c r="D3425" s="385" t="s">
        <v>4489</v>
      </c>
      <c r="E3425" s="198" t="s">
        <v>309</v>
      </c>
      <c r="F3425" s="188">
        <v>1</v>
      </c>
      <c r="G3425" s="274"/>
      <c r="H3425" s="275"/>
    </row>
    <row r="3426" spans="2:8" ht="63.75">
      <c r="B3426" s="129" t="s">
        <v>4490</v>
      </c>
      <c r="C3426" s="368"/>
      <c r="D3426" s="385" t="s">
        <v>4491</v>
      </c>
      <c r="E3426" s="198" t="s">
        <v>309</v>
      </c>
      <c r="F3426" s="188">
        <v>1</v>
      </c>
      <c r="G3426" s="274"/>
      <c r="H3426" s="275"/>
    </row>
    <row r="3427" spans="2:8" ht="14.25">
      <c r="B3427" s="129" t="s">
        <v>4492</v>
      </c>
      <c r="C3427" s="368"/>
      <c r="D3427" s="385" t="s">
        <v>4493</v>
      </c>
      <c r="E3427" s="198" t="s">
        <v>309</v>
      </c>
      <c r="F3427" s="188">
        <v>1</v>
      </c>
      <c r="G3427" s="274"/>
      <c r="H3427" s="275"/>
    </row>
    <row r="3428" spans="2:8" ht="14.25">
      <c r="B3428" s="129" t="s">
        <v>4494</v>
      </c>
      <c r="C3428" s="368"/>
      <c r="D3428" s="385" t="s">
        <v>4495</v>
      </c>
      <c r="E3428" s="198" t="s">
        <v>99</v>
      </c>
      <c r="F3428" s="188">
        <v>1</v>
      </c>
      <c r="G3428" s="274"/>
      <c r="H3428" s="275"/>
    </row>
    <row r="3429" spans="2:8" ht="14.25">
      <c r="B3429" s="129" t="s">
        <v>4496</v>
      </c>
      <c r="C3429" s="368"/>
      <c r="D3429" s="385" t="s">
        <v>4497</v>
      </c>
      <c r="E3429" s="198" t="s">
        <v>99</v>
      </c>
      <c r="F3429" s="188">
        <v>2</v>
      </c>
      <c r="G3429" s="274"/>
      <c r="H3429" s="275"/>
    </row>
    <row r="3430" spans="2:8" ht="14.25">
      <c r="B3430" s="129" t="s">
        <v>4498</v>
      </c>
      <c r="C3430" s="368"/>
      <c r="D3430" s="385" t="s">
        <v>4499</v>
      </c>
      <c r="E3430" s="198" t="s">
        <v>209</v>
      </c>
      <c r="F3430" s="188">
        <v>5.46</v>
      </c>
      <c r="G3430" s="274"/>
      <c r="H3430" s="275"/>
    </row>
    <row r="3431" spans="2:8" ht="14.25">
      <c r="B3431" s="129" t="s">
        <v>4500</v>
      </c>
      <c r="C3431" s="368"/>
      <c r="D3431" s="385" t="s">
        <v>4501</v>
      </c>
      <c r="E3431" s="198" t="s">
        <v>209</v>
      </c>
      <c r="F3431" s="188">
        <v>1.25</v>
      </c>
      <c r="G3431" s="274"/>
      <c r="H3431" s="275"/>
    </row>
    <row r="3432" spans="2:8" ht="15">
      <c r="B3432" s="186" t="s">
        <v>4502</v>
      </c>
      <c r="C3432" s="312" t="s">
        <v>4503</v>
      </c>
      <c r="D3432" s="313" t="s">
        <v>4504</v>
      </c>
      <c r="E3432" s="314"/>
      <c r="F3432" s="283"/>
      <c r="G3432" s="233"/>
      <c r="H3432" s="234"/>
    </row>
    <row r="3433" spans="2:8" ht="38.25">
      <c r="B3433" s="183" t="s">
        <v>4505</v>
      </c>
      <c r="C3433" s="198"/>
      <c r="D3433" s="332" t="s">
        <v>4506</v>
      </c>
      <c r="E3433" s="198" t="s">
        <v>309</v>
      </c>
      <c r="F3433" s="281">
        <v>1</v>
      </c>
      <c r="G3433" s="229"/>
      <c r="H3433" s="230"/>
    </row>
    <row r="3434" spans="2:8" ht="38.25">
      <c r="B3434" s="183" t="s">
        <v>4507</v>
      </c>
      <c r="C3434" s="198"/>
      <c r="D3434" s="332" t="s">
        <v>4508</v>
      </c>
      <c r="E3434" s="198" t="s">
        <v>309</v>
      </c>
      <c r="F3434" s="281">
        <v>1</v>
      </c>
      <c r="G3434" s="229"/>
      <c r="H3434" s="230"/>
    </row>
    <row r="3435" spans="2:8" ht="38.25">
      <c r="B3435" s="183" t="s">
        <v>4509</v>
      </c>
      <c r="C3435" s="198"/>
      <c r="D3435" s="332" t="s">
        <v>4510</v>
      </c>
      <c r="E3435" s="198" t="s">
        <v>309</v>
      </c>
      <c r="F3435" s="281">
        <v>1</v>
      </c>
      <c r="G3435" s="229"/>
      <c r="H3435" s="230"/>
    </row>
    <row r="3436" spans="2:8" ht="38.25">
      <c r="B3436" s="183" t="s">
        <v>4511</v>
      </c>
      <c r="C3436" s="198"/>
      <c r="D3436" s="332" t="s">
        <v>4512</v>
      </c>
      <c r="E3436" s="198" t="s">
        <v>309</v>
      </c>
      <c r="F3436" s="281">
        <v>1</v>
      </c>
      <c r="G3436" s="229"/>
      <c r="H3436" s="230"/>
    </row>
    <row r="3437" spans="2:8" ht="38.25">
      <c r="B3437" s="183" t="s">
        <v>4513</v>
      </c>
      <c r="C3437" s="198"/>
      <c r="D3437" s="332" t="s">
        <v>4514</v>
      </c>
      <c r="E3437" s="198" t="s">
        <v>309</v>
      </c>
      <c r="F3437" s="281">
        <v>1</v>
      </c>
      <c r="G3437" s="229"/>
      <c r="H3437" s="230"/>
    </row>
    <row r="3438" spans="2:8" ht="38.25">
      <c r="B3438" s="183" t="s">
        <v>4515</v>
      </c>
      <c r="C3438" s="198"/>
      <c r="D3438" s="332" t="s">
        <v>4516</v>
      </c>
      <c r="E3438" s="198" t="s">
        <v>309</v>
      </c>
      <c r="F3438" s="281">
        <v>1</v>
      </c>
      <c r="G3438" s="229"/>
      <c r="H3438" s="230"/>
    </row>
    <row r="3439" spans="2:8" ht="25.5">
      <c r="B3439" s="183" t="s">
        <v>4517</v>
      </c>
      <c r="C3439" s="198"/>
      <c r="D3439" s="332" t="s">
        <v>4518</v>
      </c>
      <c r="E3439" s="198" t="s">
        <v>309</v>
      </c>
      <c r="F3439" s="281">
        <v>1</v>
      </c>
      <c r="G3439" s="229"/>
      <c r="H3439" s="230"/>
    </row>
    <row r="3440" spans="2:8" ht="15">
      <c r="B3440" s="186" t="s">
        <v>4519</v>
      </c>
      <c r="C3440" s="312" t="s">
        <v>4520</v>
      </c>
      <c r="D3440" s="313" t="s">
        <v>4521</v>
      </c>
      <c r="E3440" s="314"/>
      <c r="F3440" s="283"/>
      <c r="G3440" s="233"/>
      <c r="H3440" s="234"/>
    </row>
    <row r="3441" spans="2:8">
      <c r="B3441" s="183" t="s">
        <v>4522</v>
      </c>
      <c r="C3441" s="198"/>
      <c r="D3441" s="332" t="s">
        <v>4523</v>
      </c>
      <c r="E3441" s="198" t="s">
        <v>309</v>
      </c>
      <c r="F3441" s="281">
        <v>1</v>
      </c>
      <c r="G3441" s="229"/>
      <c r="H3441" s="230"/>
    </row>
    <row r="3442" spans="2:8" ht="25.5">
      <c r="B3442" s="183" t="s">
        <v>4524</v>
      </c>
      <c r="C3442" s="198"/>
      <c r="D3442" s="332" t="s">
        <v>4525</v>
      </c>
      <c r="E3442" s="198" t="s">
        <v>309</v>
      </c>
      <c r="F3442" s="281">
        <v>1</v>
      </c>
      <c r="G3442" s="229"/>
      <c r="H3442" s="230"/>
    </row>
    <row r="3443" spans="2:8">
      <c r="B3443" s="183" t="s">
        <v>4526</v>
      </c>
      <c r="C3443" s="198"/>
      <c r="D3443" s="332" t="s">
        <v>4527</v>
      </c>
      <c r="E3443" s="198" t="s">
        <v>309</v>
      </c>
      <c r="F3443" s="281">
        <v>1</v>
      </c>
      <c r="G3443" s="229"/>
      <c r="H3443" s="230"/>
    </row>
    <row r="3444" spans="2:8">
      <c r="B3444" s="183" t="s">
        <v>4528</v>
      </c>
      <c r="C3444" s="198"/>
      <c r="D3444" s="332" t="s">
        <v>4529</v>
      </c>
      <c r="E3444" s="198" t="s">
        <v>309</v>
      </c>
      <c r="F3444" s="281">
        <v>1</v>
      </c>
      <c r="G3444" s="229"/>
      <c r="H3444" s="230"/>
    </row>
    <row r="3445" spans="2:8">
      <c r="B3445" s="183" t="s">
        <v>4530</v>
      </c>
      <c r="C3445" s="198"/>
      <c r="D3445" s="332" t="s">
        <v>4531</v>
      </c>
      <c r="E3445" s="198" t="s">
        <v>309</v>
      </c>
      <c r="F3445" s="281">
        <v>1</v>
      </c>
      <c r="G3445" s="229"/>
      <c r="H3445" s="230"/>
    </row>
    <row r="3446" spans="2:8">
      <c r="B3446" s="183" t="s">
        <v>4532</v>
      </c>
      <c r="C3446" s="198"/>
      <c r="D3446" s="332" t="s">
        <v>4533</v>
      </c>
      <c r="E3446" s="198" t="s">
        <v>309</v>
      </c>
      <c r="F3446" s="281">
        <v>1</v>
      </c>
      <c r="G3446" s="229"/>
      <c r="H3446" s="230"/>
    </row>
    <row r="3447" spans="2:8">
      <c r="B3447" s="183" t="s">
        <v>4534</v>
      </c>
      <c r="C3447" s="198"/>
      <c r="D3447" s="332" t="s">
        <v>4535</v>
      </c>
      <c r="E3447" s="198" t="s">
        <v>309</v>
      </c>
      <c r="F3447" s="281">
        <v>1</v>
      </c>
      <c r="G3447" s="229"/>
      <c r="H3447" s="230"/>
    </row>
    <row r="3448" spans="2:8">
      <c r="B3448" s="183" t="s">
        <v>4536</v>
      </c>
      <c r="C3448" s="198"/>
      <c r="D3448" s="332" t="s">
        <v>4537</v>
      </c>
      <c r="E3448" s="198" t="s">
        <v>309</v>
      </c>
      <c r="F3448" s="281">
        <v>1</v>
      </c>
      <c r="G3448" s="229"/>
      <c r="H3448" s="230"/>
    </row>
    <row r="3449" spans="2:8" ht="15">
      <c r="B3449" s="186" t="s">
        <v>4538</v>
      </c>
      <c r="C3449" s="312" t="s">
        <v>4539</v>
      </c>
      <c r="D3449" s="313" t="s">
        <v>4540</v>
      </c>
      <c r="E3449" s="314"/>
      <c r="F3449" s="283"/>
      <c r="G3449" s="233"/>
      <c r="H3449" s="234"/>
    </row>
    <row r="3450" spans="2:8">
      <c r="B3450" s="183" t="s">
        <v>4541</v>
      </c>
      <c r="C3450" s="198"/>
      <c r="D3450" s="332" t="s">
        <v>4523</v>
      </c>
      <c r="E3450" s="198" t="s">
        <v>309</v>
      </c>
      <c r="F3450" s="281">
        <v>1</v>
      </c>
      <c r="G3450" s="243"/>
      <c r="H3450" s="244"/>
    </row>
    <row r="3451" spans="2:8" ht="25.5">
      <c r="B3451" s="183" t="s">
        <v>4542</v>
      </c>
      <c r="C3451" s="198"/>
      <c r="D3451" s="332" t="s">
        <v>4525</v>
      </c>
      <c r="E3451" s="198" t="s">
        <v>309</v>
      </c>
      <c r="F3451" s="281">
        <v>1</v>
      </c>
      <c r="G3451" s="229"/>
      <c r="H3451" s="235"/>
    </row>
    <row r="3452" spans="2:8">
      <c r="B3452" s="183" t="s">
        <v>4543</v>
      </c>
      <c r="C3452" s="198"/>
      <c r="D3452" s="332" t="s">
        <v>4527</v>
      </c>
      <c r="E3452" s="198" t="s">
        <v>309</v>
      </c>
      <c r="F3452" s="281">
        <v>1</v>
      </c>
      <c r="G3452" s="229"/>
      <c r="H3452" s="230"/>
    </row>
    <row r="3453" spans="2:8">
      <c r="B3453" s="183" t="s">
        <v>4544</v>
      </c>
      <c r="C3453" s="198"/>
      <c r="D3453" s="332" t="s">
        <v>4529</v>
      </c>
      <c r="E3453" s="198" t="s">
        <v>309</v>
      </c>
      <c r="F3453" s="281">
        <v>1</v>
      </c>
      <c r="G3453" s="229"/>
      <c r="H3453" s="235"/>
    </row>
    <row r="3454" spans="2:8">
      <c r="B3454" s="183" t="s">
        <v>4545</v>
      </c>
      <c r="C3454" s="198"/>
      <c r="D3454" s="332" t="s">
        <v>4531</v>
      </c>
      <c r="E3454" s="198" t="s">
        <v>309</v>
      </c>
      <c r="F3454" s="281">
        <v>1</v>
      </c>
      <c r="G3454" s="229"/>
      <c r="H3454" s="230"/>
    </row>
    <row r="3455" spans="2:8">
      <c r="B3455" s="183" t="s">
        <v>4546</v>
      </c>
      <c r="C3455" s="198"/>
      <c r="D3455" s="332" t="s">
        <v>4533</v>
      </c>
      <c r="E3455" s="198" t="s">
        <v>309</v>
      </c>
      <c r="F3455" s="281">
        <v>1</v>
      </c>
      <c r="G3455" s="229"/>
      <c r="H3455" s="235"/>
    </row>
    <row r="3456" spans="2:8">
      <c r="B3456" s="183" t="s">
        <v>4547</v>
      </c>
      <c r="C3456" s="198"/>
      <c r="D3456" s="332" t="s">
        <v>4535</v>
      </c>
      <c r="E3456" s="198" t="s">
        <v>309</v>
      </c>
      <c r="F3456" s="281">
        <v>1</v>
      </c>
      <c r="G3456" s="229"/>
      <c r="H3456" s="230"/>
    </row>
    <row r="3457" spans="2:8">
      <c r="B3457" s="183" t="s">
        <v>4548</v>
      </c>
      <c r="C3457" s="198"/>
      <c r="D3457" s="332" t="s">
        <v>4537</v>
      </c>
      <c r="E3457" s="198" t="s">
        <v>309</v>
      </c>
      <c r="F3457" s="281">
        <v>1</v>
      </c>
      <c r="G3457" s="229"/>
      <c r="H3457" s="235"/>
    </row>
    <row r="3458" spans="2:8" ht="30">
      <c r="B3458" s="186" t="s">
        <v>4549</v>
      </c>
      <c r="C3458" s="312" t="s">
        <v>4550</v>
      </c>
      <c r="D3458" s="313" t="s">
        <v>4551</v>
      </c>
      <c r="E3458" s="314"/>
      <c r="F3458" s="283"/>
      <c r="G3458" s="233"/>
      <c r="H3458" s="234"/>
    </row>
    <row r="3459" spans="2:8" ht="51">
      <c r="B3459" s="183" t="s">
        <v>4552</v>
      </c>
      <c r="C3459" s="198"/>
      <c r="D3459" s="332" t="s">
        <v>4553</v>
      </c>
      <c r="E3459" s="198" t="s">
        <v>309</v>
      </c>
      <c r="F3459" s="281">
        <v>1</v>
      </c>
      <c r="G3459" s="229"/>
      <c r="H3459" s="230"/>
    </row>
    <row r="3460" spans="2:8" ht="38.25">
      <c r="B3460" s="183" t="s">
        <v>4554</v>
      </c>
      <c r="C3460" s="198"/>
      <c r="D3460" s="332" t="s">
        <v>4555</v>
      </c>
      <c r="E3460" s="198" t="s">
        <v>309</v>
      </c>
      <c r="F3460" s="281">
        <v>1</v>
      </c>
      <c r="G3460" s="229"/>
      <c r="H3460" s="230"/>
    </row>
    <row r="3461" spans="2:8">
      <c r="B3461" s="183" t="s">
        <v>4556</v>
      </c>
      <c r="C3461" s="198"/>
      <c r="D3461" s="332" t="s">
        <v>4523</v>
      </c>
      <c r="E3461" s="198" t="s">
        <v>309</v>
      </c>
      <c r="F3461" s="281">
        <v>1</v>
      </c>
      <c r="G3461" s="229"/>
      <c r="H3461" s="230"/>
    </row>
    <row r="3462" spans="2:8" ht="25.5">
      <c r="B3462" s="183" t="s">
        <v>4557</v>
      </c>
      <c r="C3462" s="198"/>
      <c r="D3462" s="332" t="s">
        <v>4525</v>
      </c>
      <c r="E3462" s="198" t="s">
        <v>309</v>
      </c>
      <c r="F3462" s="281">
        <v>1</v>
      </c>
      <c r="G3462" s="229"/>
      <c r="H3462" s="230"/>
    </row>
    <row r="3463" spans="2:8">
      <c r="B3463" s="183" t="s">
        <v>4558</v>
      </c>
      <c r="C3463" s="198"/>
      <c r="D3463" s="332" t="s">
        <v>4527</v>
      </c>
      <c r="E3463" s="198" t="s">
        <v>309</v>
      </c>
      <c r="F3463" s="281">
        <v>1</v>
      </c>
      <c r="G3463" s="229"/>
      <c r="H3463" s="230"/>
    </row>
    <row r="3464" spans="2:8">
      <c r="B3464" s="183" t="s">
        <v>4559</v>
      </c>
      <c r="C3464" s="198"/>
      <c r="D3464" s="332" t="s">
        <v>4529</v>
      </c>
      <c r="E3464" s="198" t="s">
        <v>309</v>
      </c>
      <c r="F3464" s="281">
        <v>1</v>
      </c>
      <c r="G3464" s="229"/>
      <c r="H3464" s="230"/>
    </row>
    <row r="3465" spans="2:8">
      <c r="B3465" s="183" t="s">
        <v>4560</v>
      </c>
      <c r="C3465" s="198"/>
      <c r="D3465" s="332" t="s">
        <v>4531</v>
      </c>
      <c r="E3465" s="198" t="s">
        <v>309</v>
      </c>
      <c r="F3465" s="281">
        <v>1</v>
      </c>
      <c r="G3465" s="229"/>
      <c r="H3465" s="230"/>
    </row>
    <row r="3466" spans="2:8">
      <c r="B3466" s="183" t="s">
        <v>4561</v>
      </c>
      <c r="C3466" s="198"/>
      <c r="D3466" s="332" t="s">
        <v>4533</v>
      </c>
      <c r="E3466" s="198" t="s">
        <v>309</v>
      </c>
      <c r="F3466" s="281">
        <v>1</v>
      </c>
      <c r="G3466" s="229"/>
      <c r="H3466" s="230"/>
    </row>
    <row r="3467" spans="2:8">
      <c r="B3467" s="183" t="s">
        <v>4562</v>
      </c>
      <c r="C3467" s="198"/>
      <c r="D3467" s="332" t="s">
        <v>4535</v>
      </c>
      <c r="E3467" s="198" t="s">
        <v>309</v>
      </c>
      <c r="F3467" s="281">
        <v>1</v>
      </c>
      <c r="G3467" s="229"/>
      <c r="H3467" s="230"/>
    </row>
    <row r="3468" spans="2:8">
      <c r="B3468" s="183" t="s">
        <v>4563</v>
      </c>
      <c r="C3468" s="198"/>
      <c r="D3468" s="332" t="s">
        <v>4564</v>
      </c>
      <c r="E3468" s="198" t="s">
        <v>309</v>
      </c>
      <c r="F3468" s="281">
        <v>1</v>
      </c>
      <c r="G3468" s="229"/>
      <c r="H3468" s="230"/>
    </row>
    <row r="3469" spans="2:8">
      <c r="B3469" s="183" t="s">
        <v>4565</v>
      </c>
      <c r="C3469" s="198"/>
      <c r="D3469" s="332" t="s">
        <v>4566</v>
      </c>
      <c r="E3469" s="198" t="s">
        <v>309</v>
      </c>
      <c r="F3469" s="281">
        <v>1</v>
      </c>
      <c r="G3469" s="229"/>
      <c r="H3469" s="230"/>
    </row>
    <row r="3470" spans="2:8" ht="15">
      <c r="B3470" s="186" t="s">
        <v>4567</v>
      </c>
      <c r="C3470" s="312" t="s">
        <v>4568</v>
      </c>
      <c r="D3470" s="313" t="s">
        <v>4569</v>
      </c>
      <c r="E3470" s="314"/>
      <c r="F3470" s="283"/>
      <c r="G3470" s="233"/>
      <c r="H3470" s="234"/>
    </row>
    <row r="3471" spans="2:8" ht="38.25">
      <c r="B3471" s="183" t="s">
        <v>4570</v>
      </c>
      <c r="C3471" s="198"/>
      <c r="D3471" s="371" t="s">
        <v>4571</v>
      </c>
      <c r="E3471" s="198" t="s">
        <v>309</v>
      </c>
      <c r="F3471" s="281">
        <v>1</v>
      </c>
      <c r="G3471" s="229"/>
      <c r="H3471" s="232"/>
    </row>
    <row r="3472" spans="2:8">
      <c r="B3472" s="183" t="s">
        <v>4572</v>
      </c>
      <c r="C3472" s="198"/>
      <c r="D3472" s="332" t="s">
        <v>4573</v>
      </c>
      <c r="E3472" s="198" t="s">
        <v>309</v>
      </c>
      <c r="F3472" s="281">
        <v>1</v>
      </c>
      <c r="G3472" s="229"/>
      <c r="H3472" s="235"/>
    </row>
    <row r="3473" spans="2:8" ht="25.5">
      <c r="B3473" s="183" t="s">
        <v>4574</v>
      </c>
      <c r="C3473" s="198"/>
      <c r="D3473" s="371" t="s">
        <v>4575</v>
      </c>
      <c r="E3473" s="198" t="s">
        <v>309</v>
      </c>
      <c r="F3473" s="281">
        <v>1</v>
      </c>
      <c r="G3473" s="229"/>
      <c r="H3473" s="232"/>
    </row>
    <row r="3474" spans="2:8" ht="15">
      <c r="B3474" s="186" t="s">
        <v>4576</v>
      </c>
      <c r="C3474" s="312" t="s">
        <v>4577</v>
      </c>
      <c r="D3474" s="313" t="s">
        <v>4578</v>
      </c>
      <c r="E3474" s="314"/>
      <c r="F3474" s="283"/>
      <c r="G3474" s="233"/>
      <c r="H3474" s="234"/>
    </row>
    <row r="3475" spans="2:8">
      <c r="B3475" s="183" t="s">
        <v>4579</v>
      </c>
      <c r="C3475" s="198"/>
      <c r="D3475" s="371" t="s">
        <v>4580</v>
      </c>
      <c r="E3475" s="198" t="s">
        <v>309</v>
      </c>
      <c r="F3475" s="281">
        <v>1</v>
      </c>
      <c r="G3475" s="229"/>
      <c r="H3475" s="232"/>
    </row>
    <row r="3476" spans="2:8" ht="13.5" thickBot="1">
      <c r="B3476" s="207" t="s">
        <v>4581</v>
      </c>
      <c r="C3476" s="326"/>
      <c r="D3476" s="335" t="s">
        <v>4582</v>
      </c>
      <c r="E3476" s="326" t="s">
        <v>309</v>
      </c>
      <c r="F3476" s="292">
        <v>1</v>
      </c>
      <c r="G3476" s="245"/>
      <c r="H3476" s="270"/>
    </row>
    <row r="3477" spans="2:8" ht="16.5" thickBot="1">
      <c r="B3477" s="479" t="s">
        <v>4583</v>
      </c>
      <c r="C3477" s="480"/>
      <c r="D3477" s="481" t="s">
        <v>4584</v>
      </c>
      <c r="E3477" s="482"/>
      <c r="F3477" s="483"/>
      <c r="G3477" s="484"/>
      <c r="H3477" s="485"/>
    </row>
    <row r="3478" spans="2:8" ht="14.25">
      <c r="B3478" s="472" t="s">
        <v>4585</v>
      </c>
      <c r="C3478" s="473"/>
      <c r="D3478" s="474" t="s">
        <v>4586</v>
      </c>
      <c r="E3478" s="475"/>
      <c r="F3478" s="476"/>
      <c r="G3478" s="477"/>
      <c r="H3478" s="478"/>
    </row>
    <row r="3479" spans="2:8">
      <c r="B3479" s="208" t="s">
        <v>4587</v>
      </c>
      <c r="C3479" s="369"/>
      <c r="D3479" s="396" t="s">
        <v>4588</v>
      </c>
      <c r="E3479" s="375"/>
      <c r="F3479" s="306"/>
      <c r="G3479" s="271"/>
      <c r="H3479" s="272"/>
    </row>
    <row r="3480" spans="2:8" ht="89.25">
      <c r="B3480" s="208" t="s">
        <v>4589</v>
      </c>
      <c r="C3480" s="198"/>
      <c r="D3480" s="332" t="s">
        <v>4590</v>
      </c>
      <c r="E3480" s="206" t="s">
        <v>452</v>
      </c>
      <c r="F3480" s="281">
        <v>1</v>
      </c>
      <c r="G3480" s="229"/>
      <c r="H3480" s="230"/>
    </row>
    <row r="3481" spans="2:8" ht="25.5">
      <c r="B3481" s="208" t="s">
        <v>4591</v>
      </c>
      <c r="C3481" s="369"/>
      <c r="D3481" s="396" t="s">
        <v>4592</v>
      </c>
      <c r="E3481" s="375"/>
      <c r="F3481" s="306"/>
      <c r="G3481" s="271"/>
      <c r="H3481" s="272"/>
    </row>
    <row r="3482" spans="2:8" ht="51">
      <c r="B3482" s="208" t="s">
        <v>4593</v>
      </c>
      <c r="C3482" s="198" t="s">
        <v>926</v>
      </c>
      <c r="D3482" s="350" t="s">
        <v>4594</v>
      </c>
      <c r="E3482" s="206" t="s">
        <v>55</v>
      </c>
      <c r="F3482" s="281">
        <v>272</v>
      </c>
      <c r="G3482" s="229"/>
      <c r="H3482" s="230"/>
    </row>
    <row r="3483" spans="2:8">
      <c r="B3483" s="208" t="s">
        <v>4595</v>
      </c>
      <c r="C3483" s="198"/>
      <c r="D3483" s="332" t="s">
        <v>4596</v>
      </c>
      <c r="E3483" s="206" t="s">
        <v>209</v>
      </c>
      <c r="F3483" s="281">
        <f>70-(13+10+8+10)</f>
        <v>29</v>
      </c>
      <c r="G3483" s="229"/>
      <c r="H3483" s="230"/>
    </row>
    <row r="3484" spans="2:8">
      <c r="B3484" s="208" t="s">
        <v>4597</v>
      </c>
      <c r="C3484" s="198" t="s">
        <v>4598</v>
      </c>
      <c r="D3484" s="332" t="s">
        <v>4599</v>
      </c>
      <c r="E3484" s="206" t="s">
        <v>55</v>
      </c>
      <c r="F3484" s="281">
        <v>188</v>
      </c>
      <c r="G3484" s="229"/>
      <c r="H3484" s="230"/>
    </row>
    <row r="3485" spans="2:8">
      <c r="B3485" s="208" t="s">
        <v>4600</v>
      </c>
      <c r="C3485" s="369"/>
      <c r="D3485" s="396" t="s">
        <v>4601</v>
      </c>
      <c r="E3485" s="375"/>
      <c r="F3485" s="306"/>
      <c r="G3485" s="271"/>
      <c r="H3485" s="272"/>
    </row>
    <row r="3486" spans="2:8" ht="25.5">
      <c r="B3486" s="208" t="s">
        <v>4602</v>
      </c>
      <c r="C3486" s="198"/>
      <c r="D3486" s="332" t="s">
        <v>4603</v>
      </c>
      <c r="E3486" s="206" t="s">
        <v>99</v>
      </c>
      <c r="F3486" s="281">
        <v>1</v>
      </c>
      <c r="G3486" s="229"/>
      <c r="H3486" s="230"/>
    </row>
    <row r="3487" spans="2:8" ht="25.5">
      <c r="B3487" s="208" t="s">
        <v>4604</v>
      </c>
      <c r="C3487" s="198"/>
      <c r="D3487" s="332" t="s">
        <v>4605</v>
      </c>
      <c r="E3487" s="206" t="s">
        <v>99</v>
      </c>
      <c r="F3487" s="281">
        <v>5</v>
      </c>
      <c r="G3487" s="229"/>
      <c r="H3487" s="230"/>
    </row>
    <row r="3488" spans="2:8" ht="51">
      <c r="B3488" s="208" t="s">
        <v>4606</v>
      </c>
      <c r="C3488" s="369"/>
      <c r="D3488" s="374" t="s">
        <v>4607</v>
      </c>
      <c r="E3488" s="375"/>
      <c r="F3488" s="306"/>
      <c r="G3488" s="271"/>
      <c r="H3488" s="272"/>
    </row>
    <row r="3489" spans="2:8">
      <c r="B3489" s="208" t="s">
        <v>4608</v>
      </c>
      <c r="C3489" s="198"/>
      <c r="D3489" s="332" t="s">
        <v>4609</v>
      </c>
      <c r="E3489" s="206" t="s">
        <v>99</v>
      </c>
      <c r="F3489" s="281">
        <v>4</v>
      </c>
      <c r="G3489" s="229"/>
      <c r="H3489" s="230"/>
    </row>
    <row r="3490" spans="2:8">
      <c r="B3490" s="208" t="s">
        <v>4610</v>
      </c>
      <c r="C3490" s="198"/>
      <c r="D3490" s="332" t="s">
        <v>4611</v>
      </c>
      <c r="E3490" s="206" t="s">
        <v>99</v>
      </c>
      <c r="F3490" s="281">
        <v>4</v>
      </c>
      <c r="G3490" s="229"/>
      <c r="H3490" s="230"/>
    </row>
    <row r="3491" spans="2:8" ht="76.5">
      <c r="B3491" s="208" t="s">
        <v>4612</v>
      </c>
      <c r="C3491" s="198"/>
      <c r="D3491" s="332" t="s">
        <v>4613</v>
      </c>
      <c r="E3491" s="206" t="s">
        <v>4614</v>
      </c>
      <c r="F3491" s="281">
        <v>1</v>
      </c>
      <c r="G3491" s="229"/>
      <c r="H3491" s="230"/>
    </row>
    <row r="3492" spans="2:8" ht="127.5">
      <c r="B3492" s="208" t="s">
        <v>4615</v>
      </c>
      <c r="C3492" s="198"/>
      <c r="D3492" s="332" t="s">
        <v>4616</v>
      </c>
      <c r="E3492" s="206" t="s">
        <v>4614</v>
      </c>
      <c r="F3492" s="281">
        <v>1</v>
      </c>
      <c r="G3492" s="229"/>
      <c r="H3492" s="230"/>
    </row>
    <row r="3493" spans="2:8" ht="127.5">
      <c r="B3493" s="208" t="s">
        <v>4617</v>
      </c>
      <c r="C3493" s="198"/>
      <c r="D3493" s="332" t="s">
        <v>4618</v>
      </c>
      <c r="E3493" s="206" t="s">
        <v>4614</v>
      </c>
      <c r="F3493" s="281">
        <v>1</v>
      </c>
      <c r="G3493" s="229"/>
      <c r="H3493" s="230"/>
    </row>
    <row r="3494" spans="2:8" ht="15">
      <c r="B3494" s="214" t="s">
        <v>4619</v>
      </c>
      <c r="C3494" s="370"/>
      <c r="D3494" s="376" t="s">
        <v>4620</v>
      </c>
      <c r="E3494" s="370"/>
      <c r="F3494" s="307"/>
      <c r="G3494" s="278"/>
      <c r="H3494" s="279"/>
    </row>
    <row r="3495" spans="2:8">
      <c r="B3495" s="208" t="s">
        <v>4621</v>
      </c>
      <c r="C3495" s="369"/>
      <c r="D3495" s="396" t="s">
        <v>4622</v>
      </c>
      <c r="E3495" s="375"/>
      <c r="F3495" s="306"/>
      <c r="G3495" s="271"/>
      <c r="H3495" s="272"/>
    </row>
    <row r="3496" spans="2:8" ht="89.25">
      <c r="B3496" s="208" t="s">
        <v>4623</v>
      </c>
      <c r="C3496" s="198" t="s">
        <v>841</v>
      </c>
      <c r="D3496" s="332" t="s">
        <v>4624</v>
      </c>
      <c r="E3496" s="206" t="s">
        <v>55</v>
      </c>
      <c r="F3496" s="281">
        <f>82+240+25+115+510+421+7+4</f>
        <v>1404</v>
      </c>
      <c r="G3496" s="229"/>
      <c r="H3496" s="230"/>
    </row>
    <row r="3497" spans="2:8" ht="25.5">
      <c r="B3497" s="208" t="s">
        <v>4625</v>
      </c>
      <c r="C3497" s="377" t="s">
        <v>844</v>
      </c>
      <c r="D3497" s="332" t="s">
        <v>4626</v>
      </c>
      <c r="E3497" s="206" t="s">
        <v>55</v>
      </c>
      <c r="F3497" s="281">
        <f>82+240+25+115+510+421+7+4-474*0.1</f>
        <v>1356.6</v>
      </c>
      <c r="G3497" s="229"/>
      <c r="H3497" s="230"/>
    </row>
    <row r="3498" spans="2:8" ht="25.5">
      <c r="B3498" s="208" t="s">
        <v>4627</v>
      </c>
      <c r="C3498" s="198" t="s">
        <v>4628</v>
      </c>
      <c r="D3498" s="332" t="s">
        <v>4629</v>
      </c>
      <c r="E3498" s="206" t="s">
        <v>209</v>
      </c>
      <c r="F3498" s="281">
        <f>151*2+86*2</f>
        <v>474</v>
      </c>
      <c r="G3498" s="229"/>
      <c r="H3498" s="230"/>
    </row>
    <row r="3499" spans="2:8" ht="25.5">
      <c r="B3499" s="208" t="s">
        <v>4630</v>
      </c>
      <c r="C3499" s="377" t="s">
        <v>4631</v>
      </c>
      <c r="D3499" s="332" t="s">
        <v>4632</v>
      </c>
      <c r="E3499" s="206" t="s">
        <v>55</v>
      </c>
      <c r="F3499" s="281">
        <f>82+240+25+115+510+421+7+4-474*0.1</f>
        <v>1356.6</v>
      </c>
      <c r="G3499" s="229"/>
      <c r="H3499" s="230"/>
    </row>
    <row r="3500" spans="2:8">
      <c r="B3500" s="208" t="s">
        <v>4633</v>
      </c>
      <c r="C3500" s="377"/>
      <c r="D3500" s="332" t="s">
        <v>4634</v>
      </c>
      <c r="E3500" s="206" t="s">
        <v>4635</v>
      </c>
      <c r="F3500" s="281">
        <v>20</v>
      </c>
      <c r="G3500" s="229"/>
      <c r="H3500" s="230"/>
    </row>
    <row r="3501" spans="2:8">
      <c r="B3501" s="208" t="s">
        <v>4636</v>
      </c>
      <c r="C3501" s="377"/>
      <c r="D3501" s="332" t="s">
        <v>4637</v>
      </c>
      <c r="E3501" s="206" t="s">
        <v>4635</v>
      </c>
      <c r="F3501" s="281">
        <v>8</v>
      </c>
      <c r="G3501" s="229"/>
      <c r="H3501" s="230"/>
    </row>
    <row r="3502" spans="2:8">
      <c r="B3502" s="208" t="s">
        <v>4638</v>
      </c>
      <c r="C3502" s="369"/>
      <c r="D3502" s="396" t="s">
        <v>4639</v>
      </c>
      <c r="E3502" s="206"/>
      <c r="F3502" s="281"/>
      <c r="G3502" s="271"/>
      <c r="H3502" s="272"/>
    </row>
    <row r="3503" spans="2:8" ht="76.5">
      <c r="B3503" s="208" t="s">
        <v>4640</v>
      </c>
      <c r="C3503" s="198" t="s">
        <v>841</v>
      </c>
      <c r="D3503" s="332" t="s">
        <v>4641</v>
      </c>
      <c r="E3503" s="206" t="s">
        <v>55</v>
      </c>
      <c r="F3503" s="281">
        <f>30+70+18+112+58</f>
        <v>288</v>
      </c>
      <c r="G3503" s="229"/>
      <c r="H3503" s="230"/>
    </row>
    <row r="3504" spans="2:8" ht="25.5">
      <c r="B3504" s="208" t="s">
        <v>4642</v>
      </c>
      <c r="C3504" s="377" t="s">
        <v>844</v>
      </c>
      <c r="D3504" s="332" t="s">
        <v>4626</v>
      </c>
      <c r="E3504" s="206" t="s">
        <v>55</v>
      </c>
      <c r="F3504" s="281">
        <f>30+70+18+112+58</f>
        <v>288</v>
      </c>
      <c r="G3504" s="229"/>
      <c r="H3504" s="230"/>
    </row>
    <row r="3505" spans="2:8" ht="38.25">
      <c r="B3505" s="208" t="s">
        <v>4643</v>
      </c>
      <c r="C3505" s="377" t="s">
        <v>4631</v>
      </c>
      <c r="D3505" s="332" t="s">
        <v>4644</v>
      </c>
      <c r="E3505" s="206" t="s">
        <v>55</v>
      </c>
      <c r="F3505" s="281">
        <v>288</v>
      </c>
      <c r="G3505" s="229"/>
      <c r="H3505" s="230"/>
    </row>
    <row r="3506" spans="2:8">
      <c r="B3506" s="208" t="s">
        <v>4645</v>
      </c>
      <c r="C3506" s="369"/>
      <c r="D3506" s="396" t="s">
        <v>4646</v>
      </c>
      <c r="E3506" s="206"/>
      <c r="F3506" s="281"/>
      <c r="G3506" s="271"/>
      <c r="H3506" s="272"/>
    </row>
    <row r="3507" spans="2:8" ht="51">
      <c r="B3507" s="208" t="s">
        <v>4647</v>
      </c>
      <c r="C3507" s="377" t="s">
        <v>4631</v>
      </c>
      <c r="D3507" s="332" t="s">
        <v>4648</v>
      </c>
      <c r="E3507" s="206" t="s">
        <v>55</v>
      </c>
      <c r="F3507" s="281">
        <v>1740</v>
      </c>
      <c r="G3507" s="229"/>
      <c r="H3507" s="230"/>
    </row>
    <row r="3508" spans="2:8">
      <c r="B3508" s="208" t="s">
        <v>4649</v>
      </c>
      <c r="C3508" s="377"/>
      <c r="D3508" s="397" t="s">
        <v>4650</v>
      </c>
      <c r="E3508" s="206"/>
      <c r="F3508" s="281"/>
      <c r="G3508" s="229"/>
      <c r="H3508" s="230"/>
    </row>
    <row r="3509" spans="2:8" ht="76.5">
      <c r="B3509" s="208" t="s">
        <v>4651</v>
      </c>
      <c r="C3509" s="377"/>
      <c r="D3509" s="332" t="s">
        <v>4652</v>
      </c>
      <c r="E3509" s="206" t="s">
        <v>309</v>
      </c>
      <c r="F3509" s="281">
        <v>1</v>
      </c>
      <c r="G3509" s="229"/>
      <c r="H3509" s="230"/>
    </row>
    <row r="3510" spans="2:8" ht="102">
      <c r="B3510" s="208" t="s">
        <v>4653</v>
      </c>
      <c r="C3510" s="377"/>
      <c r="D3510" s="332" t="s">
        <v>4654</v>
      </c>
      <c r="E3510" s="206" t="s">
        <v>309</v>
      </c>
      <c r="F3510" s="281">
        <v>1</v>
      </c>
      <c r="G3510" s="229"/>
      <c r="H3510" s="230"/>
    </row>
    <row r="3511" spans="2:8" ht="15">
      <c r="B3511" s="214" t="s">
        <v>4655</v>
      </c>
      <c r="C3511" s="370"/>
      <c r="D3511" s="376" t="s">
        <v>4656</v>
      </c>
      <c r="E3511" s="370"/>
      <c r="F3511" s="307"/>
      <c r="G3511" s="278"/>
      <c r="H3511" s="279"/>
    </row>
    <row r="3512" spans="2:8" ht="38.25">
      <c r="B3512" s="129" t="s">
        <v>4657</v>
      </c>
      <c r="C3512" s="198"/>
      <c r="D3512" s="332" t="s">
        <v>4658</v>
      </c>
      <c r="E3512" s="206" t="s">
        <v>55</v>
      </c>
      <c r="F3512" s="281">
        <v>320</v>
      </c>
      <c r="G3512" s="229"/>
      <c r="H3512" s="230"/>
    </row>
    <row r="3513" spans="2:8" ht="102">
      <c r="B3513" s="129" t="s">
        <v>4659</v>
      </c>
      <c r="C3513" s="198"/>
      <c r="D3513" s="332" t="s">
        <v>4660</v>
      </c>
      <c r="E3513" s="206" t="s">
        <v>452</v>
      </c>
      <c r="F3513" s="281">
        <v>1</v>
      </c>
      <c r="G3513" s="229"/>
      <c r="H3513" s="230"/>
    </row>
    <row r="3514" spans="2:8" ht="25.5">
      <c r="B3514" s="129" t="s">
        <v>4661</v>
      </c>
      <c r="C3514" s="198"/>
      <c r="D3514" s="332" t="s">
        <v>4662</v>
      </c>
      <c r="E3514" s="206" t="s">
        <v>452</v>
      </c>
      <c r="F3514" s="281">
        <v>1</v>
      </c>
      <c r="G3514" s="229"/>
      <c r="H3514" s="230"/>
    </row>
    <row r="3515" spans="2:8" ht="38.25">
      <c r="B3515" s="129" t="s">
        <v>4663</v>
      </c>
      <c r="C3515" s="198"/>
      <c r="D3515" s="332" t="s">
        <v>4664</v>
      </c>
      <c r="E3515" s="206" t="s">
        <v>55</v>
      </c>
      <c r="F3515" s="281">
        <v>194</v>
      </c>
      <c r="G3515" s="229"/>
      <c r="H3515" s="230"/>
    </row>
    <row r="3516" spans="2:8" ht="76.5">
      <c r="B3516" s="129" t="s">
        <v>4665</v>
      </c>
      <c r="C3516" s="198"/>
      <c r="D3516" s="332" t="s">
        <v>4666</v>
      </c>
      <c r="E3516" s="206" t="s">
        <v>55</v>
      </c>
      <c r="F3516" s="281">
        <v>1452</v>
      </c>
      <c r="G3516" s="229"/>
      <c r="H3516" s="230"/>
    </row>
    <row r="3517" spans="2:8" ht="38.25">
      <c r="B3517" s="129" t="s">
        <v>4667</v>
      </c>
      <c r="C3517" s="198"/>
      <c r="D3517" s="332" t="s">
        <v>4668</v>
      </c>
      <c r="E3517" s="206" t="s">
        <v>55</v>
      </c>
      <c r="F3517" s="281">
        <v>1672</v>
      </c>
      <c r="G3517" s="229"/>
      <c r="H3517" s="230"/>
    </row>
    <row r="3518" spans="2:8" ht="38.25">
      <c r="B3518" s="129" t="s">
        <v>4669</v>
      </c>
      <c r="C3518" s="198"/>
      <c r="D3518" s="332" t="s">
        <v>4670</v>
      </c>
      <c r="E3518" s="206" t="s">
        <v>55</v>
      </c>
      <c r="F3518" s="281">
        <v>432</v>
      </c>
      <c r="G3518" s="229"/>
      <c r="H3518" s="230"/>
    </row>
    <row r="3519" spans="2:8" ht="25.5">
      <c r="B3519" s="129" t="s">
        <v>4671</v>
      </c>
      <c r="C3519" s="198"/>
      <c r="D3519" s="332" t="s">
        <v>4672</v>
      </c>
      <c r="E3519" s="206" t="s">
        <v>309</v>
      </c>
      <c r="F3519" s="281">
        <v>1</v>
      </c>
      <c r="G3519" s="229"/>
      <c r="H3519" s="230"/>
    </row>
    <row r="3520" spans="2:8" ht="38.25">
      <c r="B3520" s="129" t="s">
        <v>4673</v>
      </c>
      <c r="C3520" s="198"/>
      <c r="D3520" s="332" t="s">
        <v>4674</v>
      </c>
      <c r="E3520" s="206" t="s">
        <v>55</v>
      </c>
      <c r="F3520" s="281">
        <v>38</v>
      </c>
      <c r="G3520" s="229"/>
      <c r="H3520" s="230"/>
    </row>
    <row r="3521" spans="2:8" ht="38.25">
      <c r="B3521" s="129" t="s">
        <v>4675</v>
      </c>
      <c r="C3521" s="198"/>
      <c r="D3521" s="332" t="s">
        <v>4676</v>
      </c>
      <c r="E3521" s="206" t="s">
        <v>55</v>
      </c>
      <c r="F3521" s="281">
        <v>28</v>
      </c>
      <c r="G3521" s="229"/>
      <c r="H3521" s="230"/>
    </row>
    <row r="3522" spans="2:8" ht="15">
      <c r="B3522" s="214" t="s">
        <v>4677</v>
      </c>
      <c r="C3522" s="370"/>
      <c r="D3522" s="376" t="s">
        <v>4678</v>
      </c>
      <c r="E3522" s="278"/>
      <c r="F3522" s="278"/>
      <c r="G3522" s="278"/>
      <c r="H3522" s="279"/>
    </row>
    <row r="3523" spans="2:8" ht="89.25">
      <c r="B3523" s="208" t="s">
        <v>4679</v>
      </c>
      <c r="C3523" s="377"/>
      <c r="D3523" s="332" t="s">
        <v>4680</v>
      </c>
      <c r="E3523" s="206" t="s">
        <v>309</v>
      </c>
      <c r="F3523" s="281">
        <v>1</v>
      </c>
      <c r="G3523" s="229"/>
      <c r="H3523" s="230"/>
    </row>
    <row r="3524" spans="2:8" ht="76.5">
      <c r="B3524" s="208" t="s">
        <v>4681</v>
      </c>
      <c r="C3524" s="377"/>
      <c r="D3524" s="332" t="s">
        <v>4682</v>
      </c>
      <c r="E3524" s="206" t="s">
        <v>309</v>
      </c>
      <c r="F3524" s="281">
        <v>1</v>
      </c>
      <c r="G3524" s="229"/>
      <c r="H3524" s="230"/>
    </row>
    <row r="3525" spans="2:8" ht="76.5">
      <c r="B3525" s="208" t="s">
        <v>4683</v>
      </c>
      <c r="C3525" s="377"/>
      <c r="D3525" s="332" t="s">
        <v>4684</v>
      </c>
      <c r="E3525" s="206" t="s">
        <v>309</v>
      </c>
      <c r="F3525" s="281">
        <v>1</v>
      </c>
      <c r="G3525" s="229"/>
      <c r="H3525" s="230"/>
    </row>
    <row r="3526" spans="2:8" ht="76.5">
      <c r="B3526" s="208" t="s">
        <v>4685</v>
      </c>
      <c r="C3526" s="377"/>
      <c r="D3526" s="332" t="s">
        <v>4686</v>
      </c>
      <c r="E3526" s="206" t="s">
        <v>309</v>
      </c>
      <c r="F3526" s="281">
        <v>1</v>
      </c>
      <c r="G3526" s="229"/>
      <c r="H3526" s="230"/>
    </row>
    <row r="3527" spans="2:8" ht="76.5">
      <c r="B3527" s="208" t="s">
        <v>4687</v>
      </c>
      <c r="C3527" s="377"/>
      <c r="D3527" s="332" t="s">
        <v>4688</v>
      </c>
      <c r="E3527" s="206" t="s">
        <v>309</v>
      </c>
      <c r="F3527" s="281">
        <v>1</v>
      </c>
      <c r="G3527" s="229"/>
      <c r="H3527" s="230"/>
    </row>
    <row r="3528" spans="2:8" ht="15">
      <c r="B3528" s="214" t="s">
        <v>4689</v>
      </c>
      <c r="C3528" s="370"/>
      <c r="D3528" s="376" t="s">
        <v>4690</v>
      </c>
      <c r="E3528" s="370"/>
      <c r="F3528" s="307"/>
      <c r="G3528" s="278"/>
      <c r="H3528" s="279"/>
    </row>
    <row r="3529" spans="2:8">
      <c r="B3529" s="208" t="s">
        <v>4691</v>
      </c>
      <c r="C3529" s="377"/>
      <c r="D3529" s="378" t="s">
        <v>4692</v>
      </c>
      <c r="E3529" s="215" t="s">
        <v>209</v>
      </c>
      <c r="F3529" s="281">
        <v>41</v>
      </c>
      <c r="G3529" s="229"/>
      <c r="H3529" s="230"/>
    </row>
    <row r="3530" spans="2:8">
      <c r="B3530" s="208" t="s">
        <v>4693</v>
      </c>
      <c r="C3530" s="377"/>
      <c r="D3530" s="378" t="s">
        <v>4694</v>
      </c>
      <c r="E3530" s="215" t="s">
        <v>209</v>
      </c>
      <c r="F3530" s="281">
        <v>23.5</v>
      </c>
      <c r="G3530" s="229"/>
      <c r="H3530" s="230"/>
    </row>
    <row r="3531" spans="2:8">
      <c r="B3531" s="208" t="s">
        <v>4695</v>
      </c>
      <c r="C3531" s="377"/>
      <c r="D3531" s="378" t="s">
        <v>4696</v>
      </c>
      <c r="E3531" s="215" t="s">
        <v>209</v>
      </c>
      <c r="F3531" s="281">
        <v>19</v>
      </c>
      <c r="G3531" s="229"/>
      <c r="H3531" s="230"/>
    </row>
    <row r="3532" spans="2:8">
      <c r="B3532" s="208" t="s">
        <v>4697</v>
      </c>
      <c r="C3532" s="377"/>
      <c r="D3532" s="378" t="s">
        <v>4698</v>
      </c>
      <c r="E3532" s="215" t="s">
        <v>209</v>
      </c>
      <c r="F3532" s="281">
        <v>104</v>
      </c>
      <c r="G3532" s="229"/>
      <c r="H3532" s="230"/>
    </row>
    <row r="3533" spans="2:8">
      <c r="B3533" s="208" t="s">
        <v>4699</v>
      </c>
      <c r="C3533" s="377"/>
      <c r="D3533" s="378" t="s">
        <v>4700</v>
      </c>
      <c r="E3533" s="215" t="s">
        <v>209</v>
      </c>
      <c r="F3533" s="281">
        <v>27</v>
      </c>
      <c r="G3533" s="229"/>
      <c r="H3533" s="230"/>
    </row>
    <row r="3534" spans="2:8">
      <c r="B3534" s="208" t="s">
        <v>4701</v>
      </c>
      <c r="C3534" s="377"/>
      <c r="D3534" s="378" t="s">
        <v>4702</v>
      </c>
      <c r="E3534" s="215" t="s">
        <v>209</v>
      </c>
      <c r="F3534" s="281">
        <v>10</v>
      </c>
      <c r="G3534" s="229"/>
      <c r="H3534" s="230"/>
    </row>
    <row r="3535" spans="2:8" ht="25.5">
      <c r="B3535" s="208" t="s">
        <v>4703</v>
      </c>
      <c r="C3535" s="377"/>
      <c r="D3535" s="216" t="s">
        <v>4704</v>
      </c>
      <c r="E3535" s="215" t="s">
        <v>209</v>
      </c>
      <c r="F3535" s="281">
        <v>92</v>
      </c>
      <c r="G3535" s="229"/>
      <c r="H3535" s="230"/>
    </row>
    <row r="3536" spans="2:8" ht="15">
      <c r="B3536" s="214" t="s">
        <v>4705</v>
      </c>
      <c r="C3536" s="370"/>
      <c r="D3536" s="376" t="s">
        <v>4706</v>
      </c>
      <c r="E3536" s="370"/>
      <c r="F3536" s="307"/>
      <c r="G3536" s="278"/>
      <c r="H3536" s="279"/>
    </row>
    <row r="3537" spans="2:8" ht="25.5">
      <c r="B3537" s="208" t="s">
        <v>4707</v>
      </c>
      <c r="C3537" s="398"/>
      <c r="D3537" s="465" t="s">
        <v>4708</v>
      </c>
      <c r="E3537" s="206" t="s">
        <v>309</v>
      </c>
      <c r="F3537" s="188">
        <v>1</v>
      </c>
      <c r="G3537" s="243"/>
      <c r="H3537" s="244"/>
    </row>
    <row r="3538" spans="2:8" ht="30">
      <c r="B3538" s="214" t="s">
        <v>4709</v>
      </c>
      <c r="C3538" s="370"/>
      <c r="D3538" s="376" t="s">
        <v>4710</v>
      </c>
      <c r="E3538" s="370"/>
      <c r="F3538" s="307"/>
      <c r="G3538" s="278"/>
      <c r="H3538" s="279"/>
    </row>
    <row r="3539" spans="2:8" ht="51">
      <c r="B3539" s="208" t="s">
        <v>4711</v>
      </c>
      <c r="C3539" s="398"/>
      <c r="D3539" s="465" t="s">
        <v>4712</v>
      </c>
      <c r="E3539" s="206" t="s">
        <v>55</v>
      </c>
      <c r="F3539" s="281">
        <v>80</v>
      </c>
      <c r="G3539" s="229"/>
      <c r="H3539" s="230"/>
    </row>
    <row r="3540" spans="2:8" ht="51">
      <c r="B3540" s="208" t="s">
        <v>4713</v>
      </c>
      <c r="C3540" s="398"/>
      <c r="D3540" s="465" t="s">
        <v>4714</v>
      </c>
      <c r="E3540" s="206" t="s">
        <v>55</v>
      </c>
      <c r="F3540" s="281">
        <f>12.5*6+30*5</f>
        <v>225</v>
      </c>
      <c r="G3540" s="229"/>
      <c r="H3540" s="230"/>
    </row>
    <row r="3541" spans="2:8" ht="25.5">
      <c r="B3541" s="208" t="s">
        <v>4715</v>
      </c>
      <c r="C3541" s="398"/>
      <c r="D3541" s="465" t="s">
        <v>4716</v>
      </c>
      <c r="E3541" s="206" t="s">
        <v>55</v>
      </c>
      <c r="F3541" s="281">
        <f>12.5*4+30*4</f>
        <v>170</v>
      </c>
      <c r="G3541" s="229"/>
      <c r="H3541" s="230"/>
    </row>
    <row r="3542" spans="2:8" ht="38.25">
      <c r="B3542" s="208" t="s">
        <v>4717</v>
      </c>
      <c r="C3542" s="398"/>
      <c r="D3542" s="465" t="s">
        <v>4718</v>
      </c>
      <c r="E3542" s="206" t="s">
        <v>55</v>
      </c>
      <c r="F3542" s="281">
        <v>30</v>
      </c>
      <c r="G3542" s="229"/>
      <c r="H3542" s="230"/>
    </row>
    <row r="3543" spans="2:8" ht="76.5">
      <c r="B3543" s="208" t="s">
        <v>4719</v>
      </c>
      <c r="C3543" s="398"/>
      <c r="D3543" s="465" t="s">
        <v>4720</v>
      </c>
      <c r="E3543" s="206" t="s">
        <v>55</v>
      </c>
      <c r="F3543" s="281">
        <f>+(12+6+26+14+20+4+21+15+6+39+5+30)*2</f>
        <v>396</v>
      </c>
      <c r="G3543" s="229"/>
      <c r="H3543" s="230"/>
    </row>
    <row r="3544" spans="2:8" ht="15">
      <c r="B3544" s="214" t="s">
        <v>4705</v>
      </c>
      <c r="C3544" s="370" t="s">
        <v>4598</v>
      </c>
      <c r="D3544" s="376" t="s">
        <v>4721</v>
      </c>
      <c r="E3544" s="370"/>
      <c r="F3544" s="307"/>
      <c r="G3544" s="278"/>
      <c r="H3544" s="279"/>
    </row>
    <row r="3545" spans="2:8" ht="51">
      <c r="B3545" s="208" t="s">
        <v>4707</v>
      </c>
      <c r="C3545" s="398"/>
      <c r="D3545" s="465" t="s">
        <v>4722</v>
      </c>
      <c r="E3545" s="206" t="s">
        <v>309</v>
      </c>
      <c r="F3545" s="281">
        <v>1</v>
      </c>
      <c r="G3545" s="229"/>
      <c r="H3545" s="230"/>
    </row>
    <row r="3546" spans="2:8" ht="51">
      <c r="B3546" s="208" t="s">
        <v>4723</v>
      </c>
      <c r="C3546" s="398"/>
      <c r="D3546" s="465" t="s">
        <v>4724</v>
      </c>
      <c r="E3546" s="206" t="s">
        <v>309</v>
      </c>
      <c r="F3546" s="281">
        <v>1</v>
      </c>
      <c r="G3546" s="229"/>
      <c r="H3546" s="230"/>
    </row>
    <row r="3547" spans="2:8" ht="51">
      <c r="B3547" s="208" t="s">
        <v>4725</v>
      </c>
      <c r="C3547" s="398"/>
      <c r="D3547" s="465" t="s">
        <v>4726</v>
      </c>
      <c r="E3547" s="206" t="s">
        <v>309</v>
      </c>
      <c r="F3547" s="281">
        <v>1</v>
      </c>
      <c r="G3547" s="229"/>
      <c r="H3547" s="230"/>
    </row>
    <row r="3548" spans="2:8" ht="38.25">
      <c r="B3548" s="208" t="s">
        <v>4727</v>
      </c>
      <c r="C3548" s="398"/>
      <c r="D3548" s="465" t="s">
        <v>4728</v>
      </c>
      <c r="E3548" s="206" t="s">
        <v>309</v>
      </c>
      <c r="F3548" s="281">
        <v>1</v>
      </c>
      <c r="G3548" s="229"/>
      <c r="H3548" s="230"/>
    </row>
    <row r="3549" spans="2:8" ht="51">
      <c r="B3549" s="208" t="s">
        <v>4729</v>
      </c>
      <c r="C3549" s="398"/>
      <c r="D3549" s="465" t="s">
        <v>4730</v>
      </c>
      <c r="E3549" s="206" t="s">
        <v>309</v>
      </c>
      <c r="F3549" s="281">
        <v>1</v>
      </c>
      <c r="G3549" s="229"/>
      <c r="H3549" s="230"/>
    </row>
    <row r="3550" spans="2:8" ht="51">
      <c r="B3550" s="208" t="s">
        <v>4731</v>
      </c>
      <c r="C3550" s="398"/>
      <c r="D3550" s="465" t="s">
        <v>4732</v>
      </c>
      <c r="E3550" s="206" t="s">
        <v>309</v>
      </c>
      <c r="F3550" s="281">
        <v>1</v>
      </c>
      <c r="G3550" s="229"/>
      <c r="H3550" s="230"/>
    </row>
    <row r="3551" spans="2:8" ht="38.25">
      <c r="B3551" s="208" t="s">
        <v>4733</v>
      </c>
      <c r="C3551" s="398"/>
      <c r="D3551" s="465" t="s">
        <v>4734</v>
      </c>
      <c r="E3551" s="206" t="s">
        <v>309</v>
      </c>
      <c r="F3551" s="281">
        <v>1</v>
      </c>
      <c r="G3551" s="229"/>
      <c r="H3551" s="230"/>
    </row>
    <row r="3552" spans="2:8" ht="51">
      <c r="B3552" s="208" t="s">
        <v>4735</v>
      </c>
      <c r="C3552" s="398"/>
      <c r="D3552" s="465" t="s">
        <v>4736</v>
      </c>
      <c r="E3552" s="206" t="s">
        <v>309</v>
      </c>
      <c r="F3552" s="281">
        <v>1</v>
      </c>
      <c r="G3552" s="229"/>
      <c r="H3552" s="230"/>
    </row>
    <row r="3553" spans="2:8" ht="51">
      <c r="B3553" s="208" t="s">
        <v>4737</v>
      </c>
      <c r="C3553" s="398"/>
      <c r="D3553" s="465" t="s">
        <v>4738</v>
      </c>
      <c r="E3553" s="206" t="s">
        <v>309</v>
      </c>
      <c r="F3553" s="281">
        <v>1</v>
      </c>
      <c r="G3553" s="229"/>
      <c r="H3553" s="230"/>
    </row>
    <row r="3554" spans="2:8" ht="51">
      <c r="B3554" s="208" t="s">
        <v>4739</v>
      </c>
      <c r="C3554" s="398"/>
      <c r="D3554" s="465" t="s">
        <v>4740</v>
      </c>
      <c r="E3554" s="206" t="s">
        <v>309</v>
      </c>
      <c r="F3554" s="281">
        <v>1</v>
      </c>
      <c r="G3554" s="229"/>
      <c r="H3554" s="230"/>
    </row>
    <row r="3555" spans="2:8" ht="51">
      <c r="B3555" s="208" t="s">
        <v>4741</v>
      </c>
      <c r="C3555" s="398"/>
      <c r="D3555" s="465" t="s">
        <v>4742</v>
      </c>
      <c r="E3555" s="206" t="s">
        <v>309</v>
      </c>
      <c r="F3555" s="281">
        <v>1</v>
      </c>
      <c r="G3555" s="229"/>
      <c r="H3555" s="230"/>
    </row>
    <row r="3556" spans="2:8" ht="51">
      <c r="B3556" s="208" t="s">
        <v>4743</v>
      </c>
      <c r="C3556" s="398"/>
      <c r="D3556" s="465" t="s">
        <v>4744</v>
      </c>
      <c r="E3556" s="206" t="s">
        <v>309</v>
      </c>
      <c r="F3556" s="281">
        <v>1</v>
      </c>
      <c r="G3556" s="229"/>
      <c r="H3556" s="230"/>
    </row>
    <row r="3557" spans="2:8" ht="25.5">
      <c r="B3557" s="208" t="s">
        <v>4745</v>
      </c>
      <c r="C3557" s="398"/>
      <c r="D3557" s="465" t="s">
        <v>4746</v>
      </c>
      <c r="E3557" s="206" t="s">
        <v>4747</v>
      </c>
      <c r="F3557" s="281">
        <v>384</v>
      </c>
      <c r="G3557" s="229"/>
      <c r="H3557" s="230"/>
    </row>
    <row r="3558" spans="2:8" ht="25.5">
      <c r="B3558" s="208" t="s">
        <v>4748</v>
      </c>
      <c r="C3558" s="398"/>
      <c r="D3558" s="465" t="s">
        <v>4749</v>
      </c>
      <c r="E3558" s="206" t="s">
        <v>4747</v>
      </c>
      <c r="F3558" s="281">
        <v>235</v>
      </c>
      <c r="G3558" s="229"/>
      <c r="H3558" s="230"/>
    </row>
    <row r="3559" spans="2:8" ht="38.25">
      <c r="B3559" s="208" t="s">
        <v>4750</v>
      </c>
      <c r="C3559" s="398"/>
      <c r="D3559" s="465" t="s">
        <v>4751</v>
      </c>
      <c r="E3559" s="206" t="s">
        <v>309</v>
      </c>
      <c r="F3559" s="281">
        <v>1</v>
      </c>
      <c r="G3559" s="229"/>
      <c r="H3559" s="230"/>
    </row>
    <row r="3560" spans="2:8" ht="25.5">
      <c r="B3560" s="208" t="s">
        <v>4752</v>
      </c>
      <c r="C3560" s="398"/>
      <c r="D3560" s="465" t="s">
        <v>4753</v>
      </c>
      <c r="E3560" s="206" t="s">
        <v>4747</v>
      </c>
      <c r="F3560" s="281">
        <v>248</v>
      </c>
      <c r="G3560" s="229"/>
      <c r="H3560" s="230"/>
    </row>
    <row r="3561" spans="2:8" ht="25.5">
      <c r="B3561" s="208" t="s">
        <v>4754</v>
      </c>
      <c r="C3561" s="398"/>
      <c r="D3561" s="465" t="s">
        <v>4755</v>
      </c>
      <c r="E3561" s="206" t="s">
        <v>4747</v>
      </c>
      <c r="F3561" s="281">
        <v>248</v>
      </c>
      <c r="G3561" s="229"/>
      <c r="H3561" s="230"/>
    </row>
    <row r="3562" spans="2:8" ht="15">
      <c r="B3562" s="214" t="s">
        <v>4709</v>
      </c>
      <c r="C3562" s="370"/>
      <c r="D3562" s="376" t="s">
        <v>4756</v>
      </c>
      <c r="E3562" s="370"/>
      <c r="F3562" s="307"/>
      <c r="G3562" s="278"/>
      <c r="H3562" s="279"/>
    </row>
    <row r="3563" spans="2:8" ht="51">
      <c r="B3563" s="208" t="s">
        <v>4711</v>
      </c>
      <c r="C3563" s="398"/>
      <c r="D3563" s="465" t="s">
        <v>4757</v>
      </c>
      <c r="E3563" s="206" t="s">
        <v>55</v>
      </c>
      <c r="F3563" s="281">
        <v>80</v>
      </c>
      <c r="G3563" s="229"/>
      <c r="H3563" s="230"/>
    </row>
    <row r="3564" spans="2:8" ht="15">
      <c r="B3564" s="214" t="s">
        <v>4758</v>
      </c>
      <c r="C3564" s="370"/>
      <c r="D3564" s="376" t="s">
        <v>4759</v>
      </c>
      <c r="E3564" s="370"/>
      <c r="F3564" s="307"/>
      <c r="G3564" s="278"/>
      <c r="H3564" s="279"/>
    </row>
    <row r="3565" spans="2:8">
      <c r="B3565" s="208" t="s">
        <v>4760</v>
      </c>
      <c r="C3565" s="398"/>
      <c r="D3565" s="465" t="s">
        <v>4761</v>
      </c>
      <c r="E3565" s="206" t="s">
        <v>99</v>
      </c>
      <c r="F3565" s="281">
        <v>20</v>
      </c>
      <c r="G3565" s="229"/>
      <c r="H3565" s="230"/>
    </row>
    <row r="3566" spans="2:8" ht="13.5" thickBot="1">
      <c r="B3566" s="403" t="s">
        <v>4762</v>
      </c>
      <c r="C3566" s="404"/>
      <c r="D3566" s="405" t="s">
        <v>4763</v>
      </c>
      <c r="E3566" s="406" t="s">
        <v>99</v>
      </c>
      <c r="F3566" s="292">
        <v>6</v>
      </c>
      <c r="G3566" s="245"/>
      <c r="H3566" s="407"/>
    </row>
    <row r="3567" spans="2:8" ht="16.5" thickBot="1">
      <c r="B3567" s="479" t="s">
        <v>4764</v>
      </c>
      <c r="C3567" s="480" t="s">
        <v>4765</v>
      </c>
      <c r="D3567" s="481" t="s">
        <v>4766</v>
      </c>
      <c r="E3567" s="482"/>
      <c r="F3567" s="483"/>
      <c r="G3567" s="484"/>
      <c r="H3567" s="485"/>
    </row>
    <row r="3568" spans="2:8" ht="38.25">
      <c r="B3568" s="190" t="s">
        <v>4767</v>
      </c>
      <c r="C3568" s="508" t="s">
        <v>4768</v>
      </c>
      <c r="D3568" s="144" t="s">
        <v>4769</v>
      </c>
      <c r="E3568" s="355" t="s">
        <v>309</v>
      </c>
      <c r="F3568" s="381">
        <v>1</v>
      </c>
      <c r="G3568" s="507"/>
      <c r="H3568" s="509"/>
    </row>
    <row r="3569" spans="2:8" ht="25.5">
      <c r="B3569" s="129" t="s">
        <v>4770</v>
      </c>
      <c r="C3569" s="398" t="s">
        <v>4771</v>
      </c>
      <c r="D3569" s="465" t="s">
        <v>4772</v>
      </c>
      <c r="E3569" s="198" t="s">
        <v>309</v>
      </c>
      <c r="F3569" s="281">
        <v>1</v>
      </c>
      <c r="G3569" s="229"/>
      <c r="H3569" s="230"/>
    </row>
    <row r="3570" spans="2:8">
      <c r="B3570" s="208" t="s">
        <v>4773</v>
      </c>
      <c r="C3570" s="399" t="s">
        <v>4774</v>
      </c>
      <c r="D3570" s="400" t="s">
        <v>4775</v>
      </c>
      <c r="E3570" s="401"/>
      <c r="F3570" s="281"/>
      <c r="G3570" s="229"/>
      <c r="H3570" s="230"/>
    </row>
    <row r="3571" spans="2:8" ht="63.75">
      <c r="B3571" s="129" t="s">
        <v>4776</v>
      </c>
      <c r="C3571" s="398"/>
      <c r="D3571" s="465" t="s">
        <v>4777</v>
      </c>
      <c r="E3571" s="198" t="s">
        <v>209</v>
      </c>
      <c r="F3571" s="281">
        <v>165</v>
      </c>
      <c r="G3571" s="229"/>
      <c r="H3571" s="230"/>
    </row>
    <row r="3572" spans="2:8" ht="63.75">
      <c r="B3572" s="129" t="s">
        <v>4778</v>
      </c>
      <c r="C3572" s="130"/>
      <c r="D3572" s="465" t="s">
        <v>4779</v>
      </c>
      <c r="E3572" s="130" t="s">
        <v>209</v>
      </c>
      <c r="F3572" s="281">
        <v>116</v>
      </c>
      <c r="G3572" s="229"/>
      <c r="H3572" s="230"/>
    </row>
    <row r="3573" spans="2:8" ht="38.25">
      <c r="B3573" s="129" t="s">
        <v>4780</v>
      </c>
      <c r="C3573" s="398"/>
      <c r="D3573" s="465" t="s">
        <v>4781</v>
      </c>
      <c r="E3573" s="198" t="s">
        <v>209</v>
      </c>
      <c r="F3573" s="281">
        <v>16</v>
      </c>
      <c r="G3573" s="229"/>
      <c r="H3573" s="230"/>
    </row>
    <row r="3574" spans="2:8" ht="63.75">
      <c r="B3574" s="129" t="s">
        <v>4782</v>
      </c>
      <c r="C3574" s="398"/>
      <c r="D3574" s="465" t="s">
        <v>4783</v>
      </c>
      <c r="E3574" s="198" t="s">
        <v>209</v>
      </c>
      <c r="F3574" s="281">
        <v>160</v>
      </c>
      <c r="G3574" s="229"/>
      <c r="H3574" s="230"/>
    </row>
    <row r="3575" spans="2:8" ht="25.5">
      <c r="B3575" s="129" t="s">
        <v>4784</v>
      </c>
      <c r="C3575" s="130"/>
      <c r="D3575" s="465" t="s">
        <v>4785</v>
      </c>
      <c r="E3575" s="130" t="s">
        <v>209</v>
      </c>
      <c r="F3575" s="281">
        <v>232</v>
      </c>
      <c r="G3575" s="229"/>
      <c r="H3575" s="230"/>
    </row>
    <row r="3576" spans="2:8" ht="114.75">
      <c r="B3576" s="129" t="s">
        <v>4786</v>
      </c>
      <c r="C3576" s="398"/>
      <c r="D3576" s="465" t="s">
        <v>4787</v>
      </c>
      <c r="E3576" s="198" t="s">
        <v>209</v>
      </c>
      <c r="F3576" s="281">
        <v>380</v>
      </c>
      <c r="G3576" s="229"/>
      <c r="H3576" s="230"/>
    </row>
    <row r="3577" spans="2:8" ht="76.5">
      <c r="B3577" s="129" t="s">
        <v>4788</v>
      </c>
      <c r="C3577" s="398"/>
      <c r="D3577" s="465" t="s">
        <v>4789</v>
      </c>
      <c r="E3577" s="198" t="s">
        <v>209</v>
      </c>
      <c r="F3577" s="281">
        <v>98</v>
      </c>
      <c r="G3577" s="229"/>
      <c r="H3577" s="230"/>
    </row>
    <row r="3578" spans="2:8" ht="89.25">
      <c r="B3578" s="129" t="s">
        <v>4790</v>
      </c>
      <c r="C3578" s="398"/>
      <c r="D3578" s="465" t="s">
        <v>4791</v>
      </c>
      <c r="E3578" s="198" t="s">
        <v>309</v>
      </c>
      <c r="F3578" s="281">
        <v>1</v>
      </c>
      <c r="G3578" s="229"/>
      <c r="H3578" s="230"/>
    </row>
    <row r="3579" spans="2:8">
      <c r="B3579" s="129" t="s">
        <v>4792</v>
      </c>
      <c r="C3579" s="398"/>
      <c r="D3579" s="465" t="s">
        <v>1536</v>
      </c>
      <c r="E3579" s="198"/>
      <c r="F3579" s="281"/>
      <c r="G3579" s="229"/>
      <c r="H3579" s="230"/>
    </row>
    <row r="3580" spans="2:8" ht="25.5">
      <c r="B3580" s="129" t="s">
        <v>4793</v>
      </c>
      <c r="C3580" s="130" t="s">
        <v>4794</v>
      </c>
      <c r="D3580" s="465" t="s">
        <v>4795</v>
      </c>
      <c r="E3580" s="130" t="s">
        <v>309</v>
      </c>
      <c r="F3580" s="281">
        <v>1</v>
      </c>
      <c r="G3580" s="229"/>
      <c r="H3580" s="230"/>
    </row>
    <row r="3581" spans="2:8" ht="13.5" thickBot="1">
      <c r="B3581" s="129" t="s">
        <v>4796</v>
      </c>
      <c r="C3581" s="398" t="s">
        <v>4797</v>
      </c>
      <c r="D3581" s="465" t="s">
        <v>4798</v>
      </c>
      <c r="E3581" s="130" t="s">
        <v>309</v>
      </c>
      <c r="F3581" s="281">
        <v>1</v>
      </c>
      <c r="G3581" s="229"/>
      <c r="H3581" s="230"/>
    </row>
    <row r="3582" spans="2:8" ht="16.5" thickBot="1">
      <c r="B3582" s="479" t="s">
        <v>4799</v>
      </c>
      <c r="C3582" s="480" t="s">
        <v>4800</v>
      </c>
      <c r="D3582" s="481" t="s">
        <v>4801</v>
      </c>
      <c r="E3582" s="482"/>
      <c r="F3582" s="483"/>
      <c r="G3582" s="484"/>
      <c r="H3582" s="485"/>
    </row>
    <row r="3583" spans="2:8" ht="15">
      <c r="B3583" s="510" t="s">
        <v>4802</v>
      </c>
      <c r="C3583" s="473"/>
      <c r="D3583" s="511" t="s">
        <v>4803</v>
      </c>
      <c r="E3583" s="473"/>
      <c r="F3583" s="512"/>
      <c r="G3583" s="513"/>
      <c r="H3583" s="514"/>
    </row>
    <row r="3584" spans="2:8" ht="38.25">
      <c r="B3584" s="183" t="s">
        <v>4804</v>
      </c>
      <c r="C3584" s="379" t="s">
        <v>4805</v>
      </c>
      <c r="D3584" s="310" t="s">
        <v>4806</v>
      </c>
      <c r="E3584" s="198" t="s">
        <v>69</v>
      </c>
      <c r="F3584" s="304">
        <f>8993*0.25</f>
        <v>2248.25</v>
      </c>
      <c r="G3584" s="229"/>
      <c r="H3584" s="235"/>
    </row>
    <row r="3585" spans="2:8">
      <c r="B3585" s="183" t="s">
        <v>4807</v>
      </c>
      <c r="C3585" s="198" t="s">
        <v>33</v>
      </c>
      <c r="D3585" s="332" t="s">
        <v>4808</v>
      </c>
      <c r="E3585" s="198" t="s">
        <v>209</v>
      </c>
      <c r="F3585" s="281">
        <f>1602+590</f>
        <v>2192</v>
      </c>
      <c r="G3585" s="229"/>
      <c r="H3585" s="235"/>
    </row>
    <row r="3586" spans="2:8">
      <c r="B3586" s="183" t="s">
        <v>4809</v>
      </c>
      <c r="C3586" s="198" t="s">
        <v>33</v>
      </c>
      <c r="D3586" s="332" t="s">
        <v>4810</v>
      </c>
      <c r="E3586" s="198" t="s">
        <v>69</v>
      </c>
      <c r="F3586" s="281">
        <f>513*0.5</f>
        <v>256.5</v>
      </c>
      <c r="G3586" s="229"/>
      <c r="H3586" s="235"/>
    </row>
    <row r="3587" spans="2:8">
      <c r="B3587" s="183" t="s">
        <v>4811</v>
      </c>
      <c r="C3587" s="379" t="s">
        <v>4800</v>
      </c>
      <c r="D3587" s="332" t="s">
        <v>4812</v>
      </c>
      <c r="E3587" s="198" t="s">
        <v>55</v>
      </c>
      <c r="F3587" s="304">
        <v>8993</v>
      </c>
      <c r="G3587" s="229"/>
      <c r="H3587" s="235"/>
    </row>
    <row r="3588" spans="2:8">
      <c r="B3588" s="183" t="s">
        <v>4813</v>
      </c>
      <c r="C3588" s="198" t="s">
        <v>4814</v>
      </c>
      <c r="D3588" s="332" t="s">
        <v>4815</v>
      </c>
      <c r="E3588" s="198" t="s">
        <v>209</v>
      </c>
      <c r="F3588" s="281">
        <v>1602</v>
      </c>
      <c r="G3588" s="229"/>
      <c r="H3588" s="235"/>
    </row>
    <row r="3589" spans="2:8">
      <c r="B3589" s="183" t="s">
        <v>4816</v>
      </c>
      <c r="C3589" s="379" t="s">
        <v>4814</v>
      </c>
      <c r="D3589" s="332" t="s">
        <v>4817</v>
      </c>
      <c r="E3589" s="198" t="s">
        <v>209</v>
      </c>
      <c r="F3589" s="304">
        <v>590</v>
      </c>
      <c r="G3589" s="229"/>
      <c r="H3589" s="235"/>
    </row>
    <row r="3590" spans="2:8">
      <c r="B3590" s="183" t="s">
        <v>4818</v>
      </c>
      <c r="C3590" s="379" t="s">
        <v>4814</v>
      </c>
      <c r="D3590" s="332" t="s">
        <v>4819</v>
      </c>
      <c r="E3590" s="198" t="s">
        <v>209</v>
      </c>
      <c r="F3590" s="304">
        <v>116</v>
      </c>
      <c r="G3590" s="229"/>
      <c r="H3590" s="235"/>
    </row>
    <row r="3591" spans="2:8">
      <c r="B3591" s="183" t="s">
        <v>4820</v>
      </c>
      <c r="C3591" s="198" t="s">
        <v>4598</v>
      </c>
      <c r="D3591" s="332" t="s">
        <v>4821</v>
      </c>
      <c r="E3591" s="198" t="s">
        <v>55</v>
      </c>
      <c r="F3591" s="281">
        <f>251+140</f>
        <v>391</v>
      </c>
      <c r="G3591" s="229"/>
      <c r="H3591" s="235"/>
    </row>
    <row r="3592" spans="2:8" ht="15">
      <c r="B3592" s="214" t="s">
        <v>4822</v>
      </c>
      <c r="C3592" s="370" t="s">
        <v>2961</v>
      </c>
      <c r="D3592" s="376" t="s">
        <v>4823</v>
      </c>
      <c r="E3592" s="370"/>
      <c r="F3592" s="307"/>
      <c r="G3592" s="278"/>
      <c r="H3592" s="279"/>
    </row>
    <row r="3593" spans="2:8" ht="51">
      <c r="B3593" s="183" t="s">
        <v>4824</v>
      </c>
      <c r="C3593" s="379"/>
      <c r="D3593" s="332" t="s">
        <v>4825</v>
      </c>
      <c r="E3593" s="198" t="s">
        <v>209</v>
      </c>
      <c r="F3593" s="304">
        <v>1358</v>
      </c>
      <c r="G3593" s="229"/>
      <c r="H3593" s="244"/>
    </row>
    <row r="3594" spans="2:8" ht="51">
      <c r="B3594" s="183" t="s">
        <v>4826</v>
      </c>
      <c r="C3594" s="379"/>
      <c r="D3594" s="332" t="s">
        <v>4827</v>
      </c>
      <c r="E3594" s="198" t="s">
        <v>209</v>
      </c>
      <c r="F3594" s="304">
        <v>84</v>
      </c>
      <c r="G3594" s="229"/>
      <c r="H3594" s="244"/>
    </row>
    <row r="3595" spans="2:8" ht="51">
      <c r="B3595" s="183" t="s">
        <v>4828</v>
      </c>
      <c r="C3595" s="379"/>
      <c r="D3595" s="332" t="s">
        <v>4829</v>
      </c>
      <c r="E3595" s="198" t="s">
        <v>209</v>
      </c>
      <c r="F3595" s="304">
        <v>640</v>
      </c>
      <c r="G3595" s="229"/>
      <c r="H3595" s="244"/>
    </row>
    <row r="3596" spans="2:8" ht="51">
      <c r="B3596" s="183" t="s">
        <v>4830</v>
      </c>
      <c r="C3596" s="379"/>
      <c r="D3596" s="332" t="s">
        <v>4831</v>
      </c>
      <c r="E3596" s="198" t="s">
        <v>209</v>
      </c>
      <c r="F3596" s="304">
        <v>233</v>
      </c>
      <c r="G3596" s="229"/>
      <c r="H3596" s="244"/>
    </row>
    <row r="3597" spans="2:8" ht="51">
      <c r="B3597" s="183" t="s">
        <v>4832</v>
      </c>
      <c r="C3597" s="379"/>
      <c r="D3597" s="332" t="s">
        <v>4833</v>
      </c>
      <c r="E3597" s="198" t="s">
        <v>209</v>
      </c>
      <c r="F3597" s="304">
        <v>102</v>
      </c>
      <c r="G3597" s="229"/>
      <c r="H3597" s="244"/>
    </row>
    <row r="3598" spans="2:8" ht="13.5" thickBot="1">
      <c r="B3598" s="183" t="s">
        <v>4834</v>
      </c>
      <c r="C3598" s="372"/>
      <c r="D3598" s="373" t="s">
        <v>4835</v>
      </c>
      <c r="E3598" s="372" t="s">
        <v>99</v>
      </c>
      <c r="F3598" s="305">
        <v>48</v>
      </c>
      <c r="G3598" s="276"/>
      <c r="H3598" s="277"/>
    </row>
    <row r="3599" spans="2:8" ht="16.5" thickBot="1">
      <c r="B3599" s="217" t="s">
        <v>4836</v>
      </c>
      <c r="C3599" s="218"/>
      <c r="D3599" s="219"/>
      <c r="E3599" s="131"/>
      <c r="F3599" s="220"/>
      <c r="G3599" s="280"/>
      <c r="H3599" s="280"/>
    </row>
    <row r="3600" spans="2:8" ht="13.5" thickBot="1">
      <c r="B3600" s="221"/>
      <c r="C3600" s="222"/>
      <c r="D3600" s="223" t="s">
        <v>4837</v>
      </c>
      <c r="E3600" s="224"/>
      <c r="F3600" s="225"/>
      <c r="G3600" s="226"/>
      <c r="H3600" s="227"/>
    </row>
  </sheetData>
  <phoneticPr fontId="7" type="noConversion"/>
  <printOptions horizontalCentered="1"/>
  <pageMargins left="0.62992125984251968" right="0.23622047244094491" top="0.59055118110236227" bottom="0.47244094488188981" header="0.31496062992125984" footer="0.11811023622047245"/>
  <pageSetup paperSize="119" scale="72" fitToHeight="0" orientation="portrait" r:id="rId1"/>
  <headerFooter alignWithMargins="0">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421"/>
  <sheetViews>
    <sheetView zoomScale="85" zoomScaleNormal="85" workbookViewId="0">
      <selection activeCell="E429" sqref="E429"/>
    </sheetView>
  </sheetViews>
  <sheetFormatPr defaultColWidth="11.42578125" defaultRowHeight="12.75"/>
  <cols>
    <col min="1" max="1" width="1.140625" customWidth="1"/>
    <col min="2" max="2" width="10.7109375" style="1" customWidth="1"/>
    <col min="3" max="3" width="8" style="1" customWidth="1"/>
    <col min="4" max="4" width="66.42578125" customWidth="1"/>
    <col min="5" max="5" width="7.42578125" bestFit="1" customWidth="1"/>
    <col min="6" max="6" width="8.5703125" customWidth="1"/>
    <col min="7" max="8" width="16" customWidth="1"/>
    <col min="9" max="9" width="8.42578125" customWidth="1"/>
  </cols>
  <sheetData>
    <row r="1" spans="2:8">
      <c r="B1" s="119" t="str">
        <f>+[1]Resumen!B1</f>
        <v>CORTE SUPREMA DE JUSTICIA - PROGRAMA DE LAS NACIONES UNIDAS PARA EL DESARROLLO</v>
      </c>
      <c r="C1" s="119"/>
      <c r="D1" s="120"/>
      <c r="E1" s="120"/>
      <c r="F1" s="120"/>
      <c r="G1" s="120"/>
      <c r="H1" s="120"/>
    </row>
    <row r="2" spans="2:8">
      <c r="B2" s="119" t="str">
        <f>+[1]Resumen!B2</f>
        <v>"PROGRAMA DE INFRAESTRUCTURA EDILICIA CSJ - PNUD"</v>
      </c>
      <c r="C2" s="119"/>
      <c r="D2" s="120"/>
      <c r="E2" s="120"/>
      <c r="F2" s="120"/>
      <c r="G2" s="120"/>
      <c r="H2" s="120"/>
    </row>
    <row r="3" spans="2:8">
      <c r="B3" s="119" t="str">
        <f>+Resumen!B3</f>
        <v>SDP/00014311/573/2020 - OBRAS CIVILES, INSTALACIONES Y MANTENIMIENTO POSTERIOR - PALACIO DE JUSTICIA DE SALTO DEL GUAIRÁ.</v>
      </c>
      <c r="C3" s="119"/>
      <c r="D3" s="120"/>
      <c r="E3" s="120"/>
      <c r="F3" s="120"/>
      <c r="G3" s="120"/>
      <c r="H3" s="120"/>
    </row>
    <row r="4" spans="2:8" ht="6.75" customHeight="1" thickBot="1">
      <c r="B4" s="3"/>
      <c r="C4" s="3"/>
      <c r="D4" s="120"/>
      <c r="E4" s="120"/>
      <c r="F4" s="120"/>
      <c r="G4" s="120"/>
      <c r="H4" s="120"/>
    </row>
    <row r="5" spans="2:8" ht="18.75" thickBot="1">
      <c r="B5" s="121" t="s">
        <v>4838</v>
      </c>
      <c r="C5" s="125"/>
      <c r="D5" s="122"/>
      <c r="E5" s="122"/>
      <c r="F5" s="122"/>
      <c r="G5" s="122"/>
      <c r="H5" s="123"/>
    </row>
    <row r="6" spans="2:8">
      <c r="B6" s="76" t="s">
        <v>45</v>
      </c>
      <c r="C6" s="77" t="s">
        <v>46</v>
      </c>
      <c r="D6" s="77" t="s">
        <v>47</v>
      </c>
      <c r="E6" s="77" t="s">
        <v>48</v>
      </c>
      <c r="F6" s="78" t="s">
        <v>49</v>
      </c>
      <c r="G6" s="79" t="s">
        <v>50</v>
      </c>
      <c r="H6" s="80" t="s">
        <v>6</v>
      </c>
    </row>
    <row r="7" spans="2:8" ht="13.5" thickBot="1">
      <c r="B7" s="93"/>
      <c r="C7" s="94" t="s">
        <v>51</v>
      </c>
      <c r="D7" s="94"/>
      <c r="E7" s="95"/>
      <c r="F7" s="96"/>
      <c r="G7" s="127" t="s">
        <v>8</v>
      </c>
      <c r="H7" s="128" t="s">
        <v>8</v>
      </c>
    </row>
    <row r="8" spans="2:8" s="124" customFormat="1" ht="15" thickBot="1">
      <c r="B8" s="139" t="s">
        <v>4839</v>
      </c>
      <c r="C8" s="140"/>
      <c r="D8" s="140"/>
      <c r="E8" s="140"/>
      <c r="F8" s="140"/>
      <c r="G8" s="140"/>
      <c r="H8" s="152"/>
    </row>
    <row r="9" spans="2:8" s="64" customFormat="1" ht="16.5" thickBot="1">
      <c r="B9" s="151" t="s">
        <v>4840</v>
      </c>
      <c r="C9" s="87"/>
      <c r="D9" s="87"/>
      <c r="E9" s="87"/>
      <c r="F9" s="88"/>
      <c r="G9" s="88"/>
      <c r="H9" s="531"/>
    </row>
    <row r="10" spans="2:8" s="124" customFormat="1" ht="38.25">
      <c r="B10" s="135" t="s">
        <v>4841</v>
      </c>
      <c r="C10" s="133" t="s">
        <v>4842</v>
      </c>
      <c r="D10" s="465" t="s">
        <v>4843</v>
      </c>
      <c r="E10" s="467" t="s">
        <v>99</v>
      </c>
      <c r="F10" s="466">
        <v>3</v>
      </c>
      <c r="G10" s="466"/>
      <c r="H10" s="436"/>
    </row>
    <row r="11" spans="2:8" s="124" customFormat="1">
      <c r="B11" s="135" t="s">
        <v>4844</v>
      </c>
      <c r="C11" s="133" t="s">
        <v>4842</v>
      </c>
      <c r="D11" s="465" t="s">
        <v>4845</v>
      </c>
      <c r="E11" s="467" t="s">
        <v>99</v>
      </c>
      <c r="F11" s="466">
        <v>2</v>
      </c>
      <c r="G11" s="466"/>
      <c r="H11" s="436"/>
    </row>
    <row r="12" spans="2:8" s="124" customFormat="1">
      <c r="B12" s="135" t="s">
        <v>4846</v>
      </c>
      <c r="C12" s="133" t="s">
        <v>4842</v>
      </c>
      <c r="D12" s="465" t="s">
        <v>4847</v>
      </c>
      <c r="E12" s="467" t="s">
        <v>99</v>
      </c>
      <c r="F12" s="466">
        <v>2</v>
      </c>
      <c r="G12" s="466"/>
      <c r="H12" s="436"/>
    </row>
    <row r="13" spans="2:8" s="124" customFormat="1">
      <c r="B13" s="135" t="s">
        <v>4848</v>
      </c>
      <c r="C13" s="133" t="s">
        <v>4842</v>
      </c>
      <c r="D13" s="465" t="s">
        <v>4849</v>
      </c>
      <c r="E13" s="467" t="s">
        <v>99</v>
      </c>
      <c r="F13" s="466">
        <v>16</v>
      </c>
      <c r="G13" s="466"/>
      <c r="H13" s="436"/>
    </row>
    <row r="14" spans="2:8" s="124" customFormat="1">
      <c r="B14" s="135" t="s">
        <v>4850</v>
      </c>
      <c r="C14" s="133" t="s">
        <v>4842</v>
      </c>
      <c r="D14" s="465" t="s">
        <v>4851</v>
      </c>
      <c r="E14" s="467" t="s">
        <v>99</v>
      </c>
      <c r="F14" s="466">
        <v>20</v>
      </c>
      <c r="G14" s="466"/>
      <c r="H14" s="436"/>
    </row>
    <row r="15" spans="2:8" s="124" customFormat="1">
      <c r="B15" s="135" t="s">
        <v>4852</v>
      </c>
      <c r="C15" s="133" t="s">
        <v>4842</v>
      </c>
      <c r="D15" s="465" t="s">
        <v>4853</v>
      </c>
      <c r="E15" s="467" t="s">
        <v>99</v>
      </c>
      <c r="F15" s="466">
        <v>78</v>
      </c>
      <c r="G15" s="466"/>
      <c r="H15" s="436"/>
    </row>
    <row r="16" spans="2:8" s="124" customFormat="1">
      <c r="B16" s="135" t="s">
        <v>4854</v>
      </c>
      <c r="C16" s="133" t="s">
        <v>4842</v>
      </c>
      <c r="D16" s="465" t="s">
        <v>4855</v>
      </c>
      <c r="E16" s="467" t="s">
        <v>99</v>
      </c>
      <c r="F16" s="466">
        <v>48</v>
      </c>
      <c r="G16" s="466"/>
      <c r="H16" s="436"/>
    </row>
    <row r="17" spans="2:8" s="124" customFormat="1">
      <c r="B17" s="135" t="s">
        <v>4856</v>
      </c>
      <c r="C17" s="133" t="s">
        <v>4842</v>
      </c>
      <c r="D17" s="465" t="s">
        <v>4857</v>
      </c>
      <c r="E17" s="467" t="s">
        <v>99</v>
      </c>
      <c r="F17" s="466">
        <v>31</v>
      </c>
      <c r="G17" s="466"/>
      <c r="H17" s="436"/>
    </row>
    <row r="18" spans="2:8" s="124" customFormat="1">
      <c r="B18" s="135" t="s">
        <v>4858</v>
      </c>
      <c r="C18" s="133" t="s">
        <v>4842</v>
      </c>
      <c r="D18" s="465" t="s">
        <v>4859</v>
      </c>
      <c r="E18" s="467" t="s">
        <v>99</v>
      </c>
      <c r="F18" s="466">
        <v>7</v>
      </c>
      <c r="G18" s="466"/>
      <c r="H18" s="436"/>
    </row>
    <row r="19" spans="2:8" s="124" customFormat="1" ht="25.5">
      <c r="B19" s="135" t="s">
        <v>4860</v>
      </c>
      <c r="C19" s="133" t="s">
        <v>4842</v>
      </c>
      <c r="D19" s="465" t="s">
        <v>4861</v>
      </c>
      <c r="E19" s="467" t="s">
        <v>99</v>
      </c>
      <c r="F19" s="466">
        <v>2</v>
      </c>
      <c r="G19" s="466"/>
      <c r="H19" s="436"/>
    </row>
    <row r="20" spans="2:8" s="124" customFormat="1" ht="25.5">
      <c r="B20" s="135" t="s">
        <v>4862</v>
      </c>
      <c r="C20" s="133" t="s">
        <v>4842</v>
      </c>
      <c r="D20" s="465" t="s">
        <v>4863</v>
      </c>
      <c r="E20" s="467" t="s">
        <v>99</v>
      </c>
      <c r="F20" s="466">
        <v>12</v>
      </c>
      <c r="G20" s="466"/>
      <c r="H20" s="436"/>
    </row>
    <row r="21" spans="2:8" s="124" customFormat="1" ht="25.5">
      <c r="B21" s="135" t="s">
        <v>4864</v>
      </c>
      <c r="C21" s="133" t="s">
        <v>4842</v>
      </c>
      <c r="D21" s="465" t="s">
        <v>4865</v>
      </c>
      <c r="E21" s="467" t="s">
        <v>99</v>
      </c>
      <c r="F21" s="466">
        <v>13</v>
      </c>
      <c r="G21" s="466"/>
      <c r="H21" s="436"/>
    </row>
    <row r="22" spans="2:8" s="124" customFormat="1" ht="25.5">
      <c r="B22" s="135" t="s">
        <v>4866</v>
      </c>
      <c r="C22" s="133" t="s">
        <v>4842</v>
      </c>
      <c r="D22" s="465" t="s">
        <v>4867</v>
      </c>
      <c r="E22" s="467" t="s">
        <v>99</v>
      </c>
      <c r="F22" s="466">
        <v>1</v>
      </c>
      <c r="G22" s="466"/>
      <c r="H22" s="436"/>
    </row>
    <row r="23" spans="2:8" s="124" customFormat="1" ht="25.5">
      <c r="B23" s="135" t="s">
        <v>4868</v>
      </c>
      <c r="C23" s="133" t="s">
        <v>4842</v>
      </c>
      <c r="D23" s="465" t="s">
        <v>4869</v>
      </c>
      <c r="E23" s="467" t="s">
        <v>99</v>
      </c>
      <c r="F23" s="466">
        <v>1</v>
      </c>
      <c r="G23" s="466"/>
      <c r="H23" s="436"/>
    </row>
    <row r="24" spans="2:8" s="124" customFormat="1" ht="38.25">
      <c r="B24" s="135" t="s">
        <v>4870</v>
      </c>
      <c r="C24" s="133" t="s">
        <v>4842</v>
      </c>
      <c r="D24" s="465" t="s">
        <v>4871</v>
      </c>
      <c r="E24" s="467" t="s">
        <v>99</v>
      </c>
      <c r="F24" s="466">
        <v>2</v>
      </c>
      <c r="G24" s="466"/>
      <c r="H24" s="436"/>
    </row>
    <row r="25" spans="2:8" s="124" customFormat="1">
      <c r="B25" s="135" t="s">
        <v>4872</v>
      </c>
      <c r="C25" s="133" t="s">
        <v>4842</v>
      </c>
      <c r="D25" s="465" t="s">
        <v>4873</v>
      </c>
      <c r="E25" s="467" t="s">
        <v>309</v>
      </c>
      <c r="F25" s="466">
        <v>1</v>
      </c>
      <c r="G25" s="466"/>
      <c r="H25" s="436"/>
    </row>
    <row r="26" spans="2:8" s="124" customFormat="1">
      <c r="B26" s="135" t="s">
        <v>4874</v>
      </c>
      <c r="C26" s="133" t="s">
        <v>4842</v>
      </c>
      <c r="D26" s="465" t="s">
        <v>4875</v>
      </c>
      <c r="E26" s="467" t="s">
        <v>99</v>
      </c>
      <c r="F26" s="466">
        <v>2</v>
      </c>
      <c r="G26" s="466"/>
      <c r="H26" s="436"/>
    </row>
    <row r="27" spans="2:8" s="124" customFormat="1">
      <c r="B27" s="135" t="s">
        <v>4876</v>
      </c>
      <c r="C27" s="133" t="s">
        <v>4842</v>
      </c>
      <c r="D27" s="465" t="s">
        <v>4877</v>
      </c>
      <c r="E27" s="467" t="s">
        <v>99</v>
      </c>
      <c r="F27" s="466">
        <v>2</v>
      </c>
      <c r="G27" s="466"/>
      <c r="H27" s="436"/>
    </row>
    <row r="28" spans="2:8" s="124" customFormat="1">
      <c r="B28" s="135" t="s">
        <v>4878</v>
      </c>
      <c r="C28" s="133" t="s">
        <v>4842</v>
      </c>
      <c r="D28" s="465" t="s">
        <v>4879</v>
      </c>
      <c r="E28" s="467" t="s">
        <v>99</v>
      </c>
      <c r="F28" s="466">
        <v>2</v>
      </c>
      <c r="G28" s="466"/>
      <c r="H28" s="436"/>
    </row>
    <row r="29" spans="2:8" s="124" customFormat="1">
      <c r="B29" s="135" t="s">
        <v>4880</v>
      </c>
      <c r="C29" s="133" t="s">
        <v>4842</v>
      </c>
      <c r="D29" s="465" t="s">
        <v>4881</v>
      </c>
      <c r="E29" s="467" t="s">
        <v>99</v>
      </c>
      <c r="F29" s="466">
        <v>4</v>
      </c>
      <c r="G29" s="466"/>
      <c r="H29" s="436"/>
    </row>
    <row r="30" spans="2:8" s="124" customFormat="1">
      <c r="B30" s="135" t="s">
        <v>4882</v>
      </c>
      <c r="C30" s="133" t="s">
        <v>4842</v>
      </c>
      <c r="D30" s="465" t="s">
        <v>4883</v>
      </c>
      <c r="E30" s="467" t="s">
        <v>99</v>
      </c>
      <c r="F30" s="466">
        <v>38</v>
      </c>
      <c r="G30" s="466"/>
      <c r="H30" s="436"/>
    </row>
    <row r="31" spans="2:8" s="124" customFormat="1" ht="25.5">
      <c r="B31" s="135" t="s">
        <v>4884</v>
      </c>
      <c r="C31" s="133" t="s">
        <v>4842</v>
      </c>
      <c r="D31" s="465" t="s">
        <v>4885</v>
      </c>
      <c r="E31" s="467" t="s">
        <v>99</v>
      </c>
      <c r="F31" s="466">
        <v>48</v>
      </c>
      <c r="G31" s="466"/>
      <c r="H31" s="436"/>
    </row>
    <row r="32" spans="2:8" s="124" customFormat="1" ht="25.5">
      <c r="B32" s="135" t="s">
        <v>4886</v>
      </c>
      <c r="C32" s="133" t="s">
        <v>4842</v>
      </c>
      <c r="D32" s="465" t="s">
        <v>4887</v>
      </c>
      <c r="E32" s="467" t="s">
        <v>99</v>
      </c>
      <c r="F32" s="466">
        <v>78</v>
      </c>
      <c r="G32" s="466"/>
      <c r="H32" s="436"/>
    </row>
    <row r="33" spans="2:8" s="124" customFormat="1" ht="25.5">
      <c r="B33" s="135" t="s">
        <v>4888</v>
      </c>
      <c r="C33" s="133" t="s">
        <v>4842</v>
      </c>
      <c r="D33" s="465" t="s">
        <v>4889</v>
      </c>
      <c r="E33" s="467" t="s">
        <v>99</v>
      </c>
      <c r="F33" s="466">
        <v>20</v>
      </c>
      <c r="G33" s="466"/>
      <c r="H33" s="436"/>
    </row>
    <row r="34" spans="2:8" s="124" customFormat="1" ht="25.5">
      <c r="B34" s="135" t="s">
        <v>4890</v>
      </c>
      <c r="C34" s="133" t="s">
        <v>4842</v>
      </c>
      <c r="D34" s="465" t="s">
        <v>4891</v>
      </c>
      <c r="E34" s="467" t="s">
        <v>99</v>
      </c>
      <c r="F34" s="466">
        <v>16</v>
      </c>
      <c r="G34" s="466"/>
      <c r="H34" s="436"/>
    </row>
    <row r="35" spans="2:8" s="124" customFormat="1" ht="51">
      <c r="B35" s="135" t="s">
        <v>4892</v>
      </c>
      <c r="C35" s="133" t="s">
        <v>4842</v>
      </c>
      <c r="D35" s="465" t="s">
        <v>4893</v>
      </c>
      <c r="E35" s="467" t="s">
        <v>99</v>
      </c>
      <c r="F35" s="466">
        <v>250</v>
      </c>
      <c r="G35" s="466"/>
      <c r="H35" s="436"/>
    </row>
    <row r="36" spans="2:8" s="124" customFormat="1">
      <c r="B36" s="135" t="s">
        <v>4894</v>
      </c>
      <c r="C36" s="133" t="s">
        <v>4842</v>
      </c>
      <c r="D36" s="465" t="s">
        <v>4895</v>
      </c>
      <c r="E36" s="467" t="s">
        <v>99</v>
      </c>
      <c r="F36" s="466">
        <v>1</v>
      </c>
      <c r="G36" s="466"/>
      <c r="H36" s="436"/>
    </row>
    <row r="37" spans="2:8" s="124" customFormat="1">
      <c r="B37" s="135" t="s">
        <v>4896</v>
      </c>
      <c r="C37" s="133" t="s">
        <v>4842</v>
      </c>
      <c r="D37" s="465" t="s">
        <v>4897</v>
      </c>
      <c r="E37" s="467" t="s">
        <v>99</v>
      </c>
      <c r="F37" s="466">
        <v>1</v>
      </c>
      <c r="G37" s="466"/>
      <c r="H37" s="436"/>
    </row>
    <row r="38" spans="2:8" s="124" customFormat="1" ht="13.5" thickBot="1">
      <c r="B38" s="135" t="s">
        <v>4898</v>
      </c>
      <c r="C38" s="133" t="s">
        <v>4842</v>
      </c>
      <c r="D38" s="465" t="s">
        <v>4899</v>
      </c>
      <c r="E38" s="467" t="s">
        <v>99</v>
      </c>
      <c r="F38" s="466">
        <v>2</v>
      </c>
      <c r="G38" s="466"/>
      <c r="H38" s="436"/>
    </row>
    <row r="39" spans="2:8" s="181" customFormat="1" ht="13.5" thickBot="1">
      <c r="B39" s="151" t="s">
        <v>4900</v>
      </c>
      <c r="C39" s="423"/>
      <c r="D39" s="423"/>
      <c r="E39" s="456"/>
      <c r="F39" s="424"/>
      <c r="G39" s="424"/>
      <c r="H39" s="437"/>
    </row>
    <row r="40" spans="2:8" s="124" customFormat="1">
      <c r="B40" s="135" t="s">
        <v>4901</v>
      </c>
      <c r="C40" s="133" t="s">
        <v>4842</v>
      </c>
      <c r="D40" s="468" t="s">
        <v>4902</v>
      </c>
      <c r="E40" s="469" t="s">
        <v>99</v>
      </c>
      <c r="F40" s="470">
        <v>5</v>
      </c>
      <c r="G40" s="466"/>
      <c r="H40" s="438"/>
    </row>
    <row r="41" spans="2:8" s="124" customFormat="1">
      <c r="B41" s="135" t="s">
        <v>4903</v>
      </c>
      <c r="C41" s="133" t="s">
        <v>4842</v>
      </c>
      <c r="D41" s="465" t="s">
        <v>4904</v>
      </c>
      <c r="E41" s="203" t="s">
        <v>99</v>
      </c>
      <c r="F41" s="466">
        <v>5</v>
      </c>
      <c r="G41" s="466"/>
      <c r="H41" s="438"/>
    </row>
    <row r="42" spans="2:8" s="124" customFormat="1" ht="25.5">
      <c r="B42" s="135" t="s">
        <v>4905</v>
      </c>
      <c r="C42" s="133" t="s">
        <v>4842</v>
      </c>
      <c r="D42" s="465" t="s">
        <v>4906</v>
      </c>
      <c r="E42" s="467" t="s">
        <v>99</v>
      </c>
      <c r="F42" s="425">
        <v>1</v>
      </c>
      <c r="G42" s="466"/>
      <c r="H42" s="438"/>
    </row>
    <row r="43" spans="2:8" s="124" customFormat="1">
      <c r="B43" s="135" t="s">
        <v>4907</v>
      </c>
      <c r="C43" s="133" t="s">
        <v>4842</v>
      </c>
      <c r="D43" s="465" t="s">
        <v>4908</v>
      </c>
      <c r="E43" s="467" t="s">
        <v>99</v>
      </c>
      <c r="F43" s="425">
        <v>1</v>
      </c>
      <c r="G43" s="466"/>
      <c r="H43" s="438"/>
    </row>
    <row r="44" spans="2:8" s="124" customFormat="1">
      <c r="B44" s="135" t="s">
        <v>4909</v>
      </c>
      <c r="C44" s="133" t="s">
        <v>4842</v>
      </c>
      <c r="D44" s="465" t="s">
        <v>4910</v>
      </c>
      <c r="E44" s="467" t="s">
        <v>99</v>
      </c>
      <c r="F44" s="425">
        <v>5</v>
      </c>
      <c r="G44" s="466"/>
      <c r="H44" s="438"/>
    </row>
    <row r="45" spans="2:8" s="124" customFormat="1">
      <c r="B45" s="135" t="s">
        <v>4911</v>
      </c>
      <c r="C45" s="133" t="s">
        <v>4842</v>
      </c>
      <c r="D45" s="465" t="s">
        <v>4912</v>
      </c>
      <c r="E45" s="467" t="s">
        <v>99</v>
      </c>
      <c r="F45" s="425">
        <v>1</v>
      </c>
      <c r="G45" s="466"/>
      <c r="H45" s="438"/>
    </row>
    <row r="46" spans="2:8" s="124" customFormat="1">
      <c r="B46" s="135" t="s">
        <v>4913</v>
      </c>
      <c r="C46" s="133" t="s">
        <v>4842</v>
      </c>
      <c r="D46" s="465" t="s">
        <v>4914</v>
      </c>
      <c r="E46" s="467" t="s">
        <v>99</v>
      </c>
      <c r="F46" s="425">
        <v>2</v>
      </c>
      <c r="G46" s="466"/>
      <c r="H46" s="438"/>
    </row>
    <row r="47" spans="2:8" s="124" customFormat="1">
      <c r="B47" s="135" t="s">
        <v>4915</v>
      </c>
      <c r="C47" s="133" t="s">
        <v>4842</v>
      </c>
      <c r="D47" s="465" t="s">
        <v>4916</v>
      </c>
      <c r="E47" s="467" t="s">
        <v>99</v>
      </c>
      <c r="F47" s="425">
        <v>1</v>
      </c>
      <c r="G47" s="466"/>
      <c r="H47" s="438"/>
    </row>
    <row r="48" spans="2:8" s="124" customFormat="1" ht="13.5" thickBot="1">
      <c r="B48" s="135" t="s">
        <v>4917</v>
      </c>
      <c r="C48" s="133" t="s">
        <v>4842</v>
      </c>
      <c r="D48" s="465" t="s">
        <v>4918</v>
      </c>
      <c r="E48" s="467" t="s">
        <v>99</v>
      </c>
      <c r="F48" s="425">
        <v>1</v>
      </c>
      <c r="G48" s="466"/>
      <c r="H48" s="438"/>
    </row>
    <row r="49" spans="2:9" s="124" customFormat="1" ht="15" thickBot="1">
      <c r="B49" s="139" t="s">
        <v>4919</v>
      </c>
      <c r="C49" s="140"/>
      <c r="D49" s="140"/>
      <c r="E49" s="140"/>
      <c r="F49" s="426"/>
      <c r="G49" s="426"/>
      <c r="H49" s="439"/>
      <c r="I49" s="161"/>
    </row>
    <row r="50" spans="2:9" s="181" customFormat="1" ht="13.5" thickBot="1">
      <c r="B50" s="151" t="s">
        <v>4920</v>
      </c>
      <c r="C50" s="423"/>
      <c r="D50" s="423"/>
      <c r="E50" s="456"/>
      <c r="F50" s="424"/>
      <c r="G50" s="424"/>
      <c r="H50" s="437"/>
    </row>
    <row r="51" spans="2:9" s="124" customFormat="1">
      <c r="B51" s="408"/>
      <c r="C51" s="133" t="s">
        <v>4842</v>
      </c>
      <c r="D51" s="409" t="s">
        <v>4921</v>
      </c>
      <c r="E51" s="457"/>
      <c r="F51" s="427"/>
      <c r="G51" s="427"/>
      <c r="H51" s="440"/>
    </row>
    <row r="52" spans="2:9" s="124" customFormat="1" ht="25.5">
      <c r="B52" s="129" t="s">
        <v>4922</v>
      </c>
      <c r="C52" s="142"/>
      <c r="D52" s="465" t="s">
        <v>4923</v>
      </c>
      <c r="E52" s="203" t="s">
        <v>209</v>
      </c>
      <c r="F52" s="466">
        <v>8</v>
      </c>
      <c r="G52" s="466"/>
      <c r="H52" s="441"/>
    </row>
    <row r="53" spans="2:9" s="124" customFormat="1" ht="25.5">
      <c r="B53" s="129" t="s">
        <v>4924</v>
      </c>
      <c r="C53" s="142"/>
      <c r="D53" s="465" t="s">
        <v>4925</v>
      </c>
      <c r="E53" s="203" t="s">
        <v>209</v>
      </c>
      <c r="F53" s="466">
        <v>36</v>
      </c>
      <c r="G53" s="466"/>
      <c r="H53" s="441"/>
    </row>
    <row r="54" spans="2:9" s="124" customFormat="1" ht="25.5">
      <c r="B54" s="129" t="s">
        <v>4926</v>
      </c>
      <c r="C54" s="142"/>
      <c r="D54" s="465" t="s">
        <v>4927</v>
      </c>
      <c r="E54" s="203" t="s">
        <v>99</v>
      </c>
      <c r="F54" s="466">
        <v>4</v>
      </c>
      <c r="G54" s="442"/>
      <c r="H54" s="443"/>
    </row>
    <row r="55" spans="2:9" s="124" customFormat="1">
      <c r="B55" s="129" t="s">
        <v>4928</v>
      </c>
      <c r="C55" s="142"/>
      <c r="D55" s="465" t="s">
        <v>4929</v>
      </c>
      <c r="E55" s="203" t="s">
        <v>309</v>
      </c>
      <c r="F55" s="466">
        <v>1</v>
      </c>
      <c r="G55" s="442"/>
      <c r="H55" s="443"/>
    </row>
    <row r="56" spans="2:9" s="124" customFormat="1" ht="25.5">
      <c r="B56" s="129" t="s">
        <v>4930</v>
      </c>
      <c r="C56" s="142"/>
      <c r="D56" s="465" t="s">
        <v>4931</v>
      </c>
      <c r="E56" s="203" t="s">
        <v>99</v>
      </c>
      <c r="F56" s="466">
        <v>2</v>
      </c>
      <c r="G56" s="442"/>
      <c r="H56" s="443"/>
    </row>
    <row r="57" spans="2:9" s="124" customFormat="1">
      <c r="B57" s="129" t="s">
        <v>4932</v>
      </c>
      <c r="C57" s="142"/>
      <c r="D57" s="465" t="s">
        <v>4933</v>
      </c>
      <c r="E57" s="203" t="s">
        <v>309</v>
      </c>
      <c r="F57" s="466">
        <v>1</v>
      </c>
      <c r="G57" s="442"/>
      <c r="H57" s="443"/>
    </row>
    <row r="58" spans="2:9" s="124" customFormat="1">
      <c r="B58" s="129" t="s">
        <v>4934</v>
      </c>
      <c r="C58" s="411"/>
      <c r="D58" s="412" t="s">
        <v>4935</v>
      </c>
      <c r="E58" s="203" t="s">
        <v>2258</v>
      </c>
      <c r="F58" s="428">
        <v>48</v>
      </c>
      <c r="G58" s="428"/>
      <c r="H58" s="444"/>
    </row>
    <row r="59" spans="2:9" s="124" customFormat="1">
      <c r="B59" s="129" t="s">
        <v>4936</v>
      </c>
      <c r="C59" s="411"/>
      <c r="D59" s="412" t="s">
        <v>4937</v>
      </c>
      <c r="E59" s="203" t="s">
        <v>2258</v>
      </c>
      <c r="F59" s="428">
        <v>12</v>
      </c>
      <c r="G59" s="428"/>
      <c r="H59" s="444"/>
    </row>
    <row r="60" spans="2:9" s="124" customFormat="1">
      <c r="B60" s="129" t="s">
        <v>4938</v>
      </c>
      <c r="C60" s="411"/>
      <c r="D60" s="412" t="s">
        <v>4939</v>
      </c>
      <c r="E60" s="203" t="s">
        <v>2258</v>
      </c>
      <c r="F60" s="428">
        <v>30</v>
      </c>
      <c r="G60" s="428"/>
      <c r="H60" s="444"/>
    </row>
    <row r="61" spans="2:9" s="124" customFormat="1">
      <c r="B61" s="129" t="s">
        <v>4940</v>
      </c>
      <c r="C61" s="411"/>
      <c r="D61" s="412" t="s">
        <v>4941</v>
      </c>
      <c r="E61" s="203" t="s">
        <v>2258</v>
      </c>
      <c r="F61" s="428">
        <v>12</v>
      </c>
      <c r="G61" s="428"/>
      <c r="H61" s="444"/>
    </row>
    <row r="62" spans="2:9" s="124" customFormat="1">
      <c r="B62" s="129" t="s">
        <v>4942</v>
      </c>
      <c r="C62" s="411"/>
      <c r="D62" s="412" t="s">
        <v>4943</v>
      </c>
      <c r="E62" s="203" t="s">
        <v>2258</v>
      </c>
      <c r="F62" s="428">
        <v>12</v>
      </c>
      <c r="G62" s="428"/>
      <c r="H62" s="444"/>
    </row>
    <row r="63" spans="2:9" s="124" customFormat="1" ht="25.5">
      <c r="B63" s="129" t="s">
        <v>4944</v>
      </c>
      <c r="C63" s="411"/>
      <c r="D63" s="412" t="s">
        <v>4945</v>
      </c>
      <c r="E63" s="203" t="s">
        <v>99</v>
      </c>
      <c r="F63" s="428">
        <v>3</v>
      </c>
      <c r="G63" s="428"/>
      <c r="H63" s="444"/>
    </row>
    <row r="64" spans="2:9" s="124" customFormat="1">
      <c r="B64" s="129" t="s">
        <v>4946</v>
      </c>
      <c r="C64" s="411"/>
      <c r="D64" s="412" t="s">
        <v>4947</v>
      </c>
      <c r="E64" s="203" t="s">
        <v>99</v>
      </c>
      <c r="F64" s="428">
        <v>6</v>
      </c>
      <c r="G64" s="428"/>
      <c r="H64" s="444"/>
    </row>
    <row r="65" spans="2:8" s="124" customFormat="1">
      <c r="B65" s="129" t="s">
        <v>4948</v>
      </c>
      <c r="C65" s="411"/>
      <c r="D65" s="412" t="s">
        <v>4949</v>
      </c>
      <c r="E65" s="203" t="s">
        <v>99</v>
      </c>
      <c r="F65" s="428">
        <v>3</v>
      </c>
      <c r="G65" s="428"/>
      <c r="H65" s="444"/>
    </row>
    <row r="66" spans="2:8" s="124" customFormat="1">
      <c r="B66" s="129"/>
      <c r="C66" s="133" t="s">
        <v>4842</v>
      </c>
      <c r="D66" s="414" t="s">
        <v>4950</v>
      </c>
      <c r="E66" s="203"/>
      <c r="F66" s="466"/>
      <c r="G66" s="442"/>
      <c r="H66" s="443"/>
    </row>
    <row r="67" spans="2:8" s="124" customFormat="1">
      <c r="B67" s="129" t="s">
        <v>4951</v>
      </c>
      <c r="C67" s="411"/>
      <c r="D67" s="412" t="s">
        <v>4952</v>
      </c>
      <c r="E67" s="458" t="s">
        <v>2258</v>
      </c>
      <c r="F67" s="429">
        <f>60*1.3</f>
        <v>78</v>
      </c>
      <c r="G67" s="428"/>
      <c r="H67" s="444"/>
    </row>
    <row r="68" spans="2:8" s="124" customFormat="1">
      <c r="B68" s="129" t="s">
        <v>4953</v>
      </c>
      <c r="C68" s="411"/>
      <c r="D68" s="412" t="s">
        <v>4954</v>
      </c>
      <c r="E68" s="458" t="s">
        <v>99</v>
      </c>
      <c r="F68" s="429">
        <f>7</f>
        <v>7</v>
      </c>
      <c r="G68" s="428"/>
      <c r="H68" s="444"/>
    </row>
    <row r="69" spans="2:8" s="124" customFormat="1">
      <c r="B69" s="129" t="s">
        <v>4955</v>
      </c>
      <c r="C69" s="411"/>
      <c r="D69" s="412" t="s">
        <v>4937</v>
      </c>
      <c r="E69" s="458" t="s">
        <v>2258</v>
      </c>
      <c r="F69" s="429">
        <v>0</v>
      </c>
      <c r="G69" s="428"/>
      <c r="H69" s="444"/>
    </row>
    <row r="70" spans="2:8" s="124" customFormat="1">
      <c r="B70" s="129" t="s">
        <v>4956</v>
      </c>
      <c r="C70" s="411"/>
      <c r="D70" s="412" t="s">
        <v>4939</v>
      </c>
      <c r="E70" s="458" t="s">
        <v>2258</v>
      </c>
      <c r="F70" s="428">
        <v>12</v>
      </c>
      <c r="G70" s="428"/>
      <c r="H70" s="444"/>
    </row>
    <row r="71" spans="2:8" s="124" customFormat="1">
      <c r="B71" s="129" t="s">
        <v>4957</v>
      </c>
      <c r="C71" s="411"/>
      <c r="D71" s="412" t="s">
        <v>4941</v>
      </c>
      <c r="E71" s="458" t="s">
        <v>2258</v>
      </c>
      <c r="F71" s="429">
        <v>12</v>
      </c>
      <c r="G71" s="428"/>
      <c r="H71" s="444"/>
    </row>
    <row r="72" spans="2:8" s="124" customFormat="1">
      <c r="B72" s="129" t="s">
        <v>4958</v>
      </c>
      <c r="C72" s="411"/>
      <c r="D72" s="412" t="s">
        <v>4943</v>
      </c>
      <c r="E72" s="458" t="s">
        <v>2258</v>
      </c>
      <c r="F72" s="429">
        <v>12</v>
      </c>
      <c r="G72" s="428"/>
      <c r="H72" s="444"/>
    </row>
    <row r="73" spans="2:8" s="124" customFormat="1" ht="13.5" thickBot="1">
      <c r="B73" s="129" t="s">
        <v>4959</v>
      </c>
      <c r="C73" s="415"/>
      <c r="D73" s="402" t="s">
        <v>4933</v>
      </c>
      <c r="E73" s="205" t="s">
        <v>309</v>
      </c>
      <c r="F73" s="430">
        <v>1</v>
      </c>
      <c r="G73" s="445"/>
      <c r="H73" s="446"/>
    </row>
    <row r="74" spans="2:8" s="181" customFormat="1" ht="13.5" thickBot="1">
      <c r="B74" s="151" t="s">
        <v>4960</v>
      </c>
      <c r="C74" s="423"/>
      <c r="D74" s="423"/>
      <c r="E74" s="456"/>
      <c r="F74" s="424"/>
      <c r="G74" s="424"/>
      <c r="H74" s="437"/>
    </row>
    <row r="75" spans="2:8" s="124" customFormat="1">
      <c r="B75" s="408"/>
      <c r="C75" s="133" t="s">
        <v>4842</v>
      </c>
      <c r="D75" s="409" t="s">
        <v>4921</v>
      </c>
      <c r="E75" s="457"/>
      <c r="F75" s="427"/>
      <c r="G75" s="427"/>
      <c r="H75" s="440"/>
    </row>
    <row r="76" spans="2:8" s="124" customFormat="1" ht="25.5">
      <c r="B76" s="129" t="s">
        <v>4961</v>
      </c>
      <c r="C76" s="416"/>
      <c r="D76" s="144" t="s">
        <v>4962</v>
      </c>
      <c r="E76" s="467" t="s">
        <v>209</v>
      </c>
      <c r="F76" s="425">
        <v>16</v>
      </c>
      <c r="G76" s="425"/>
      <c r="H76" s="436"/>
    </row>
    <row r="77" spans="2:8" s="124" customFormat="1" ht="25.5">
      <c r="B77" s="129" t="s">
        <v>4963</v>
      </c>
      <c r="C77" s="413"/>
      <c r="D77" s="465" t="s">
        <v>4964</v>
      </c>
      <c r="E77" s="203" t="s">
        <v>209</v>
      </c>
      <c r="F77" s="466">
        <v>31</v>
      </c>
      <c r="G77" s="466"/>
      <c r="H77" s="441"/>
    </row>
    <row r="78" spans="2:8" s="124" customFormat="1" ht="25.5">
      <c r="B78" s="129" t="s">
        <v>4965</v>
      </c>
      <c r="C78" s="413"/>
      <c r="D78" s="465" t="s">
        <v>4966</v>
      </c>
      <c r="E78" s="203" t="s">
        <v>209</v>
      </c>
      <c r="F78" s="466">
        <v>150</v>
      </c>
      <c r="G78" s="466"/>
      <c r="H78" s="441"/>
    </row>
    <row r="79" spans="2:8" s="124" customFormat="1" ht="25.5">
      <c r="B79" s="129" t="s">
        <v>4967</v>
      </c>
      <c r="C79" s="413"/>
      <c r="D79" s="465" t="s">
        <v>4968</v>
      </c>
      <c r="E79" s="203" t="s">
        <v>209</v>
      </c>
      <c r="F79" s="466">
        <v>50</v>
      </c>
      <c r="G79" s="466"/>
      <c r="H79" s="441"/>
    </row>
    <row r="80" spans="2:8" s="124" customFormat="1" ht="25.5">
      <c r="B80" s="129" t="s">
        <v>4969</v>
      </c>
      <c r="C80" s="413"/>
      <c r="D80" s="465" t="s">
        <v>4970</v>
      </c>
      <c r="E80" s="203" t="s">
        <v>209</v>
      </c>
      <c r="F80" s="466">
        <v>98</v>
      </c>
      <c r="G80" s="466"/>
      <c r="H80" s="441"/>
    </row>
    <row r="81" spans="2:8" s="124" customFormat="1" ht="25.5">
      <c r="B81" s="129" t="s">
        <v>4971</v>
      </c>
      <c r="C81" s="413"/>
      <c r="D81" s="465" t="s">
        <v>4923</v>
      </c>
      <c r="E81" s="203" t="s">
        <v>209</v>
      </c>
      <c r="F81" s="466">
        <v>78</v>
      </c>
      <c r="G81" s="466"/>
      <c r="H81" s="441"/>
    </row>
    <row r="82" spans="2:8" s="124" customFormat="1" ht="25.5">
      <c r="B82" s="129" t="s">
        <v>4972</v>
      </c>
      <c r="C82" s="413"/>
      <c r="D82" s="465" t="s">
        <v>4925</v>
      </c>
      <c r="E82" s="203" t="s">
        <v>209</v>
      </c>
      <c r="F82" s="466">
        <v>525</v>
      </c>
      <c r="G82" s="466"/>
      <c r="H82" s="441"/>
    </row>
    <row r="83" spans="2:8" s="124" customFormat="1" ht="25.5">
      <c r="B83" s="129" t="s">
        <v>4973</v>
      </c>
      <c r="C83" s="413"/>
      <c r="D83" s="465" t="s">
        <v>4927</v>
      </c>
      <c r="E83" s="203" t="s">
        <v>99</v>
      </c>
      <c r="F83" s="466">
        <v>45</v>
      </c>
      <c r="G83" s="442"/>
      <c r="H83" s="443"/>
    </row>
    <row r="84" spans="2:8" s="124" customFormat="1">
      <c r="B84" s="129" t="s">
        <v>4974</v>
      </c>
      <c r="C84" s="413"/>
      <c r="D84" s="465" t="s">
        <v>4929</v>
      </c>
      <c r="E84" s="203" t="s">
        <v>309</v>
      </c>
      <c r="F84" s="466">
        <v>1</v>
      </c>
      <c r="G84" s="442"/>
      <c r="H84" s="443"/>
    </row>
    <row r="85" spans="2:8" s="124" customFormat="1" ht="25.5">
      <c r="B85" s="129" t="s">
        <v>4975</v>
      </c>
      <c r="C85" s="413"/>
      <c r="D85" s="465" t="s">
        <v>4931</v>
      </c>
      <c r="E85" s="203" t="s">
        <v>99</v>
      </c>
      <c r="F85" s="466">
        <v>38</v>
      </c>
      <c r="G85" s="442"/>
      <c r="H85" s="443"/>
    </row>
    <row r="86" spans="2:8" s="124" customFormat="1">
      <c r="B86" s="129" t="s">
        <v>4976</v>
      </c>
      <c r="C86" s="413"/>
      <c r="D86" s="465" t="s">
        <v>4933</v>
      </c>
      <c r="E86" s="203" t="s">
        <v>309</v>
      </c>
      <c r="F86" s="466">
        <v>1</v>
      </c>
      <c r="G86" s="442"/>
      <c r="H86" s="443"/>
    </row>
    <row r="87" spans="2:8" s="124" customFormat="1">
      <c r="B87" s="129" t="s">
        <v>4977</v>
      </c>
      <c r="C87" s="411"/>
      <c r="D87" s="412" t="s">
        <v>4935</v>
      </c>
      <c r="E87" s="459" t="s">
        <v>2258</v>
      </c>
      <c r="F87" s="428">
        <v>404</v>
      </c>
      <c r="G87" s="428"/>
      <c r="H87" s="444"/>
    </row>
    <row r="88" spans="2:8" s="124" customFormat="1">
      <c r="B88" s="129" t="s">
        <v>4978</v>
      </c>
      <c r="C88" s="411"/>
      <c r="D88" s="412" t="s">
        <v>4937</v>
      </c>
      <c r="E88" s="459" t="s">
        <v>2258</v>
      </c>
      <c r="F88" s="428">
        <v>40</v>
      </c>
      <c r="G88" s="428"/>
      <c r="H88" s="444"/>
    </row>
    <row r="89" spans="2:8" s="124" customFormat="1">
      <c r="B89" s="129" t="s">
        <v>4979</v>
      </c>
      <c r="C89" s="411"/>
      <c r="D89" s="412" t="s">
        <v>4939</v>
      </c>
      <c r="E89" s="459" t="s">
        <v>2258</v>
      </c>
      <c r="F89" s="428">
        <v>260</v>
      </c>
      <c r="G89" s="428"/>
      <c r="H89" s="444"/>
    </row>
    <row r="90" spans="2:8" s="124" customFormat="1">
      <c r="B90" s="129" t="s">
        <v>4980</v>
      </c>
      <c r="C90" s="411"/>
      <c r="D90" s="412" t="s">
        <v>4941</v>
      </c>
      <c r="E90" s="459" t="s">
        <v>2258</v>
      </c>
      <c r="F90" s="428">
        <v>40</v>
      </c>
      <c r="G90" s="428"/>
      <c r="H90" s="444"/>
    </row>
    <row r="91" spans="2:8" s="124" customFormat="1">
      <c r="B91" s="129" t="s">
        <v>4981</v>
      </c>
      <c r="C91" s="411"/>
      <c r="D91" s="412" t="s">
        <v>4943</v>
      </c>
      <c r="E91" s="459" t="s">
        <v>2258</v>
      </c>
      <c r="F91" s="428">
        <v>30</v>
      </c>
      <c r="G91" s="428"/>
      <c r="H91" s="444"/>
    </row>
    <row r="92" spans="2:8" s="124" customFormat="1">
      <c r="B92" s="129" t="s">
        <v>4982</v>
      </c>
      <c r="C92" s="411"/>
      <c r="D92" s="412" t="s">
        <v>4954</v>
      </c>
      <c r="E92" s="459" t="s">
        <v>99</v>
      </c>
      <c r="F92" s="428">
        <v>5</v>
      </c>
      <c r="G92" s="428"/>
      <c r="H92" s="444"/>
    </row>
    <row r="93" spans="2:8" s="124" customFormat="1" ht="25.5">
      <c r="B93" s="129" t="s">
        <v>4983</v>
      </c>
      <c r="C93" s="411"/>
      <c r="D93" s="412" t="s">
        <v>4945</v>
      </c>
      <c r="E93" s="459" t="s">
        <v>99</v>
      </c>
      <c r="F93" s="428">
        <v>78</v>
      </c>
      <c r="G93" s="428"/>
      <c r="H93" s="444"/>
    </row>
    <row r="94" spans="2:8" s="124" customFormat="1">
      <c r="B94" s="129" t="s">
        <v>4984</v>
      </c>
      <c r="C94" s="411"/>
      <c r="D94" s="412" t="s">
        <v>4947</v>
      </c>
      <c r="E94" s="459" t="s">
        <v>99</v>
      </c>
      <c r="F94" s="428">
        <v>56</v>
      </c>
      <c r="G94" s="428"/>
      <c r="H94" s="444"/>
    </row>
    <row r="95" spans="2:8" s="124" customFormat="1">
      <c r="B95" s="129" t="s">
        <v>4985</v>
      </c>
      <c r="C95" s="411"/>
      <c r="D95" s="412" t="s">
        <v>4949</v>
      </c>
      <c r="E95" s="459" t="s">
        <v>99</v>
      </c>
      <c r="F95" s="428">
        <v>5</v>
      </c>
      <c r="G95" s="428"/>
      <c r="H95" s="444"/>
    </row>
    <row r="96" spans="2:8" s="124" customFormat="1">
      <c r="B96" s="129" t="s">
        <v>4986</v>
      </c>
      <c r="C96" s="533"/>
      <c r="D96" s="534" t="s">
        <v>4987</v>
      </c>
      <c r="E96" s="535" t="s">
        <v>99</v>
      </c>
      <c r="F96" s="536">
        <v>24</v>
      </c>
      <c r="G96" s="536"/>
      <c r="H96" s="549"/>
    </row>
    <row r="97" spans="2:8" s="124" customFormat="1">
      <c r="B97" s="136"/>
      <c r="C97" s="133" t="s">
        <v>4842</v>
      </c>
      <c r="D97" s="137" t="s">
        <v>4950</v>
      </c>
      <c r="E97" s="342"/>
      <c r="F97" s="431"/>
      <c r="G97" s="431"/>
      <c r="H97" s="447"/>
    </row>
    <row r="98" spans="2:8" s="124" customFormat="1">
      <c r="B98" s="129" t="s">
        <v>4988</v>
      </c>
      <c r="C98" s="411"/>
      <c r="D98" s="412" t="s">
        <v>4954</v>
      </c>
      <c r="E98" s="458" t="s">
        <v>99</v>
      </c>
      <c r="F98" s="428">
        <v>14</v>
      </c>
      <c r="G98" s="428"/>
      <c r="H98" s="444"/>
    </row>
    <row r="99" spans="2:8" s="124" customFormat="1">
      <c r="B99" s="129" t="s">
        <v>4989</v>
      </c>
      <c r="C99" s="411"/>
      <c r="D99" s="412" t="s">
        <v>4990</v>
      </c>
      <c r="E99" s="458" t="s">
        <v>99</v>
      </c>
      <c r="F99" s="428">
        <v>23</v>
      </c>
      <c r="G99" s="428"/>
      <c r="H99" s="444"/>
    </row>
    <row r="100" spans="2:8" s="124" customFormat="1">
      <c r="B100" s="129" t="s">
        <v>4991</v>
      </c>
      <c r="C100" s="411"/>
      <c r="D100" s="412" t="s">
        <v>4992</v>
      </c>
      <c r="E100" s="458" t="s">
        <v>99</v>
      </c>
      <c r="F100" s="428">
        <v>1</v>
      </c>
      <c r="G100" s="428"/>
      <c r="H100" s="444"/>
    </row>
    <row r="101" spans="2:8" s="124" customFormat="1">
      <c r="B101" s="129" t="s">
        <v>4993</v>
      </c>
      <c r="C101" s="411"/>
      <c r="D101" s="412" t="s">
        <v>4994</v>
      </c>
      <c r="E101" s="458" t="s">
        <v>99</v>
      </c>
      <c r="F101" s="428">
        <v>12</v>
      </c>
      <c r="G101" s="428"/>
      <c r="H101" s="444"/>
    </row>
    <row r="102" spans="2:8" s="124" customFormat="1">
      <c r="B102" s="129" t="s">
        <v>4995</v>
      </c>
      <c r="C102" s="411"/>
      <c r="D102" s="412" t="s">
        <v>4996</v>
      </c>
      <c r="E102" s="458" t="s">
        <v>99</v>
      </c>
      <c r="F102" s="429">
        <v>7</v>
      </c>
      <c r="G102" s="428"/>
      <c r="H102" s="444"/>
    </row>
    <row r="103" spans="2:8" s="124" customFormat="1">
      <c r="B103" s="129" t="s">
        <v>4997</v>
      </c>
      <c r="C103" s="411"/>
      <c r="D103" s="412" t="s">
        <v>4998</v>
      </c>
      <c r="E103" s="458" t="s">
        <v>99</v>
      </c>
      <c r="F103" s="429">
        <v>3</v>
      </c>
      <c r="G103" s="428"/>
      <c r="H103" s="444"/>
    </row>
    <row r="104" spans="2:8" s="124" customFormat="1">
      <c r="B104" s="129" t="s">
        <v>4999</v>
      </c>
      <c r="C104" s="411"/>
      <c r="D104" s="412" t="s">
        <v>4947</v>
      </c>
      <c r="E104" s="458" t="s">
        <v>99</v>
      </c>
      <c r="F104" s="429">
        <v>1</v>
      </c>
      <c r="G104" s="428"/>
      <c r="H104" s="444"/>
    </row>
    <row r="105" spans="2:8" s="124" customFormat="1">
      <c r="B105" s="129" t="s">
        <v>5000</v>
      </c>
      <c r="C105" s="411"/>
      <c r="D105" s="412" t="s">
        <v>4952</v>
      </c>
      <c r="E105" s="458" t="s">
        <v>2258</v>
      </c>
      <c r="F105" s="428">
        <v>573</v>
      </c>
      <c r="G105" s="428"/>
      <c r="H105" s="444"/>
    </row>
    <row r="106" spans="2:8" s="124" customFormat="1">
      <c r="B106" s="129" t="s">
        <v>5001</v>
      </c>
      <c r="C106" s="411"/>
      <c r="D106" s="412" t="s">
        <v>4937</v>
      </c>
      <c r="E106" s="458" t="s">
        <v>2258</v>
      </c>
      <c r="F106" s="429">
        <v>12</v>
      </c>
      <c r="G106" s="428"/>
      <c r="H106" s="444"/>
    </row>
    <row r="107" spans="2:8" s="124" customFormat="1">
      <c r="B107" s="129" t="s">
        <v>5002</v>
      </c>
      <c r="C107" s="411"/>
      <c r="D107" s="412" t="s">
        <v>4939</v>
      </c>
      <c r="E107" s="458" t="s">
        <v>2258</v>
      </c>
      <c r="F107" s="429">
        <v>12</v>
      </c>
      <c r="G107" s="428"/>
      <c r="H107" s="444"/>
    </row>
    <row r="108" spans="2:8" s="124" customFormat="1">
      <c r="B108" s="129" t="s">
        <v>5003</v>
      </c>
      <c r="C108" s="142"/>
      <c r="D108" s="332" t="s">
        <v>4941</v>
      </c>
      <c r="E108" s="460" t="s">
        <v>2258</v>
      </c>
      <c r="F108" s="466">
        <v>12</v>
      </c>
      <c r="G108" s="448"/>
      <c r="H108" s="449"/>
    </row>
    <row r="109" spans="2:8" s="124" customFormat="1">
      <c r="B109" s="129" t="s">
        <v>5004</v>
      </c>
      <c r="C109" s="142"/>
      <c r="D109" s="332" t="s">
        <v>4943</v>
      </c>
      <c r="E109" s="460" t="s">
        <v>2258</v>
      </c>
      <c r="F109" s="466">
        <v>75</v>
      </c>
      <c r="G109" s="448"/>
      <c r="H109" s="449"/>
    </row>
    <row r="110" spans="2:8" s="124" customFormat="1">
      <c r="B110" s="129" t="s">
        <v>5005</v>
      </c>
      <c r="C110" s="142"/>
      <c r="D110" s="417" t="s">
        <v>5006</v>
      </c>
      <c r="E110" s="460" t="s">
        <v>99</v>
      </c>
      <c r="F110" s="466">
        <v>2</v>
      </c>
      <c r="G110" s="448"/>
      <c r="H110" s="449"/>
    </row>
    <row r="111" spans="2:8" s="124" customFormat="1">
      <c r="B111" s="129" t="s">
        <v>5007</v>
      </c>
      <c r="C111" s="418"/>
      <c r="D111" s="537" t="s">
        <v>5008</v>
      </c>
      <c r="E111" s="461" t="s">
        <v>99</v>
      </c>
      <c r="F111" s="432">
        <v>5</v>
      </c>
      <c r="G111" s="450"/>
      <c r="H111" s="451"/>
    </row>
    <row r="112" spans="2:8" s="124" customFormat="1" ht="38.25">
      <c r="B112" s="129" t="s">
        <v>5009</v>
      </c>
      <c r="C112" s="418"/>
      <c r="D112" s="537" t="s">
        <v>5010</v>
      </c>
      <c r="E112" s="461" t="s">
        <v>99</v>
      </c>
      <c r="F112" s="432">
        <v>1</v>
      </c>
      <c r="G112" s="450"/>
      <c r="H112" s="451"/>
    </row>
    <row r="113" spans="2:8" s="124" customFormat="1" ht="13.5" thickBot="1">
      <c r="B113" s="129" t="s">
        <v>5011</v>
      </c>
      <c r="C113" s="418"/>
      <c r="D113" s="537" t="s">
        <v>4933</v>
      </c>
      <c r="E113" s="461" t="s">
        <v>309</v>
      </c>
      <c r="F113" s="432">
        <v>1</v>
      </c>
      <c r="G113" s="450"/>
      <c r="H113" s="451"/>
    </row>
    <row r="114" spans="2:8" s="181" customFormat="1" ht="13.5" thickBot="1">
      <c r="B114" s="151" t="s">
        <v>5012</v>
      </c>
      <c r="C114" s="423"/>
      <c r="D114" s="423"/>
      <c r="E114" s="456"/>
      <c r="F114" s="424"/>
      <c r="G114" s="424"/>
      <c r="H114" s="437"/>
    </row>
    <row r="115" spans="2:8" s="124" customFormat="1">
      <c r="B115" s="408"/>
      <c r="C115" s="133" t="s">
        <v>4842</v>
      </c>
      <c r="D115" s="409" t="s">
        <v>4921</v>
      </c>
      <c r="E115" s="457"/>
      <c r="F115" s="427"/>
      <c r="G115" s="427"/>
      <c r="H115" s="440"/>
    </row>
    <row r="116" spans="2:8" s="124" customFormat="1" ht="25.5">
      <c r="B116" s="129" t="s">
        <v>5013</v>
      </c>
      <c r="C116" s="413"/>
      <c r="D116" s="465" t="s">
        <v>4962</v>
      </c>
      <c r="E116" s="203" t="s">
        <v>209</v>
      </c>
      <c r="F116" s="466">
        <v>16</v>
      </c>
      <c r="G116" s="466"/>
      <c r="H116" s="441"/>
    </row>
    <row r="117" spans="2:8" s="124" customFormat="1" ht="25.5">
      <c r="B117" s="129" t="s">
        <v>5014</v>
      </c>
      <c r="C117" s="413"/>
      <c r="D117" s="465" t="s">
        <v>4964</v>
      </c>
      <c r="E117" s="203" t="s">
        <v>209</v>
      </c>
      <c r="F117" s="466">
        <v>7</v>
      </c>
      <c r="G117" s="466"/>
      <c r="H117" s="441"/>
    </row>
    <row r="118" spans="2:8" s="124" customFormat="1" ht="25.5">
      <c r="B118" s="129" t="s">
        <v>5015</v>
      </c>
      <c r="C118" s="413"/>
      <c r="D118" s="465" t="s">
        <v>4966</v>
      </c>
      <c r="E118" s="203" t="s">
        <v>209</v>
      </c>
      <c r="F118" s="466">
        <v>205</v>
      </c>
      <c r="G118" s="466"/>
      <c r="H118" s="441"/>
    </row>
    <row r="119" spans="2:8" s="124" customFormat="1" ht="25.5">
      <c r="B119" s="129" t="s">
        <v>5016</v>
      </c>
      <c r="C119" s="413"/>
      <c r="D119" s="465" t="s">
        <v>4968</v>
      </c>
      <c r="E119" s="203" t="s">
        <v>209</v>
      </c>
      <c r="F119" s="466">
        <v>43</v>
      </c>
      <c r="G119" s="466"/>
      <c r="H119" s="441"/>
    </row>
    <row r="120" spans="2:8" s="124" customFormat="1" ht="25.5">
      <c r="B120" s="129" t="s">
        <v>5017</v>
      </c>
      <c r="C120" s="413"/>
      <c r="D120" s="465" t="s">
        <v>4970</v>
      </c>
      <c r="E120" s="203" t="s">
        <v>209</v>
      </c>
      <c r="F120" s="466">
        <v>62</v>
      </c>
      <c r="G120" s="466"/>
      <c r="H120" s="441"/>
    </row>
    <row r="121" spans="2:8" s="124" customFormat="1" ht="25.5">
      <c r="B121" s="129" t="s">
        <v>5018</v>
      </c>
      <c r="C121" s="413"/>
      <c r="D121" s="465" t="s">
        <v>4923</v>
      </c>
      <c r="E121" s="203" t="s">
        <v>209</v>
      </c>
      <c r="F121" s="466">
        <v>46</v>
      </c>
      <c r="G121" s="466"/>
      <c r="H121" s="441"/>
    </row>
    <row r="122" spans="2:8" s="124" customFormat="1" ht="25.5">
      <c r="B122" s="129" t="s">
        <v>5019</v>
      </c>
      <c r="C122" s="413"/>
      <c r="D122" s="465" t="s">
        <v>4925</v>
      </c>
      <c r="E122" s="203" t="s">
        <v>209</v>
      </c>
      <c r="F122" s="466">
        <v>327</v>
      </c>
      <c r="G122" s="466"/>
      <c r="H122" s="441"/>
    </row>
    <row r="123" spans="2:8" s="124" customFormat="1" ht="25.5">
      <c r="B123" s="129" t="s">
        <v>5020</v>
      </c>
      <c r="C123" s="413"/>
      <c r="D123" s="465" t="s">
        <v>4927</v>
      </c>
      <c r="E123" s="203" t="s">
        <v>99</v>
      </c>
      <c r="F123" s="466">
        <v>34</v>
      </c>
      <c r="G123" s="442"/>
      <c r="H123" s="443"/>
    </row>
    <row r="124" spans="2:8" s="124" customFormat="1">
      <c r="B124" s="129" t="s">
        <v>5021</v>
      </c>
      <c r="C124" s="413"/>
      <c r="D124" s="465" t="s">
        <v>4929</v>
      </c>
      <c r="E124" s="203" t="s">
        <v>309</v>
      </c>
      <c r="F124" s="466">
        <v>1</v>
      </c>
      <c r="G124" s="442"/>
      <c r="H124" s="443"/>
    </row>
    <row r="125" spans="2:8" s="124" customFormat="1" ht="25.5">
      <c r="B125" s="129" t="s">
        <v>5022</v>
      </c>
      <c r="C125" s="413"/>
      <c r="D125" s="465" t="s">
        <v>4931</v>
      </c>
      <c r="E125" s="203" t="s">
        <v>99</v>
      </c>
      <c r="F125" s="466">
        <v>29</v>
      </c>
      <c r="G125" s="442"/>
      <c r="H125" s="443"/>
    </row>
    <row r="126" spans="2:8" s="124" customFormat="1">
      <c r="B126" s="129" t="s">
        <v>5023</v>
      </c>
      <c r="C126" s="413"/>
      <c r="D126" s="465" t="s">
        <v>4933</v>
      </c>
      <c r="E126" s="203" t="s">
        <v>309</v>
      </c>
      <c r="F126" s="466">
        <v>1</v>
      </c>
      <c r="G126" s="442"/>
      <c r="H126" s="443"/>
    </row>
    <row r="127" spans="2:8" s="124" customFormat="1">
      <c r="B127" s="129" t="s">
        <v>5024</v>
      </c>
      <c r="C127" s="411"/>
      <c r="D127" s="412" t="s">
        <v>4935</v>
      </c>
      <c r="E127" s="459" t="s">
        <v>2258</v>
      </c>
      <c r="F127" s="428">
        <v>420</v>
      </c>
      <c r="G127" s="428"/>
      <c r="H127" s="444"/>
    </row>
    <row r="128" spans="2:8" s="124" customFormat="1">
      <c r="B128" s="129" t="s">
        <v>5025</v>
      </c>
      <c r="C128" s="411"/>
      <c r="D128" s="412" t="s">
        <v>4937</v>
      </c>
      <c r="E128" s="459" t="s">
        <v>2258</v>
      </c>
      <c r="F128" s="428">
        <v>60</v>
      </c>
      <c r="G128" s="428"/>
      <c r="H128" s="444"/>
    </row>
    <row r="129" spans="2:8" s="124" customFormat="1">
      <c r="B129" s="129" t="s">
        <v>5026</v>
      </c>
      <c r="C129" s="411"/>
      <c r="D129" s="412" t="s">
        <v>4939</v>
      </c>
      <c r="E129" s="459" t="s">
        <v>2258</v>
      </c>
      <c r="F129" s="428">
        <v>170</v>
      </c>
      <c r="G129" s="428"/>
      <c r="H129" s="444"/>
    </row>
    <row r="130" spans="2:8" s="124" customFormat="1">
      <c r="B130" s="129" t="s">
        <v>5027</v>
      </c>
      <c r="C130" s="411"/>
      <c r="D130" s="412" t="s">
        <v>4941</v>
      </c>
      <c r="E130" s="459" t="s">
        <v>2258</v>
      </c>
      <c r="F130" s="428">
        <v>54</v>
      </c>
      <c r="G130" s="428"/>
      <c r="H130" s="444"/>
    </row>
    <row r="131" spans="2:8" s="124" customFormat="1">
      <c r="B131" s="129" t="s">
        <v>5028</v>
      </c>
      <c r="C131" s="411"/>
      <c r="D131" s="412" t="s">
        <v>4943</v>
      </c>
      <c r="E131" s="459" t="s">
        <v>2258</v>
      </c>
      <c r="F131" s="428">
        <v>30</v>
      </c>
      <c r="G131" s="428"/>
      <c r="H131" s="444"/>
    </row>
    <row r="132" spans="2:8" s="124" customFormat="1">
      <c r="B132" s="129" t="s">
        <v>5029</v>
      </c>
      <c r="C132" s="411"/>
      <c r="D132" s="412" t="s">
        <v>4954</v>
      </c>
      <c r="E132" s="459" t="s">
        <v>99</v>
      </c>
      <c r="F132" s="428">
        <v>7</v>
      </c>
      <c r="G132" s="428"/>
      <c r="H132" s="444"/>
    </row>
    <row r="133" spans="2:8" s="124" customFormat="1" ht="25.5">
      <c r="B133" s="129" t="s">
        <v>5030</v>
      </c>
      <c r="C133" s="411"/>
      <c r="D133" s="412" t="s">
        <v>4945</v>
      </c>
      <c r="E133" s="459" t="s">
        <v>99</v>
      </c>
      <c r="F133" s="428">
        <v>40</v>
      </c>
      <c r="G133" s="428"/>
      <c r="H133" s="444"/>
    </row>
    <row r="134" spans="2:8" s="124" customFormat="1">
      <c r="B134" s="129" t="s">
        <v>5031</v>
      </c>
      <c r="C134" s="411"/>
      <c r="D134" s="412" t="s">
        <v>4947</v>
      </c>
      <c r="E134" s="459" t="s">
        <v>99</v>
      </c>
      <c r="F134" s="428">
        <v>40</v>
      </c>
      <c r="G134" s="428"/>
      <c r="H134" s="444"/>
    </row>
    <row r="135" spans="2:8" s="124" customFormat="1">
      <c r="B135" s="129" t="s">
        <v>5032</v>
      </c>
      <c r="C135" s="411"/>
      <c r="D135" s="412" t="s">
        <v>5033</v>
      </c>
      <c r="E135" s="459" t="s">
        <v>99</v>
      </c>
      <c r="F135" s="428">
        <v>30</v>
      </c>
      <c r="G135" s="428"/>
      <c r="H135" s="444"/>
    </row>
    <row r="136" spans="2:8" s="124" customFormat="1">
      <c r="B136" s="129" t="s">
        <v>5034</v>
      </c>
      <c r="C136" s="411"/>
      <c r="D136" s="412" t="s">
        <v>4949</v>
      </c>
      <c r="E136" s="459" t="s">
        <v>99</v>
      </c>
      <c r="F136" s="428">
        <v>3</v>
      </c>
      <c r="G136" s="428"/>
      <c r="H136" s="444"/>
    </row>
    <row r="137" spans="2:8" s="124" customFormat="1">
      <c r="B137" s="129" t="s">
        <v>5035</v>
      </c>
      <c r="C137" s="411"/>
      <c r="D137" s="412" t="s">
        <v>5036</v>
      </c>
      <c r="E137" s="459" t="s">
        <v>99</v>
      </c>
      <c r="F137" s="428">
        <v>5</v>
      </c>
      <c r="G137" s="428"/>
      <c r="H137" s="444"/>
    </row>
    <row r="138" spans="2:8" s="124" customFormat="1">
      <c r="B138" s="129" t="s">
        <v>5037</v>
      </c>
      <c r="C138" s="411"/>
      <c r="D138" s="412" t="s">
        <v>4987</v>
      </c>
      <c r="E138" s="459" t="s">
        <v>99</v>
      </c>
      <c r="F138" s="428">
        <v>22</v>
      </c>
      <c r="G138" s="428"/>
      <c r="H138" s="444"/>
    </row>
    <row r="139" spans="2:8" s="124" customFormat="1">
      <c r="B139" s="136"/>
      <c r="C139" s="133" t="s">
        <v>4842</v>
      </c>
      <c r="D139" s="137" t="s">
        <v>4950</v>
      </c>
      <c r="E139" s="342"/>
      <c r="F139" s="431"/>
      <c r="G139" s="431"/>
      <c r="H139" s="447"/>
    </row>
    <row r="140" spans="2:8" s="124" customFormat="1">
      <c r="B140" s="129" t="s">
        <v>5038</v>
      </c>
      <c r="C140" s="411"/>
      <c r="D140" s="412" t="s">
        <v>4954</v>
      </c>
      <c r="E140" s="458" t="s">
        <v>99</v>
      </c>
      <c r="F140" s="428">
        <v>16</v>
      </c>
      <c r="G140" s="428"/>
      <c r="H140" s="444"/>
    </row>
    <row r="141" spans="2:8" s="124" customFormat="1">
      <c r="B141" s="129" t="s">
        <v>5039</v>
      </c>
      <c r="C141" s="411"/>
      <c r="D141" s="412" t="s">
        <v>4990</v>
      </c>
      <c r="E141" s="458" t="s">
        <v>99</v>
      </c>
      <c r="F141" s="428">
        <v>6</v>
      </c>
      <c r="G141" s="428"/>
      <c r="H141" s="444"/>
    </row>
    <row r="142" spans="2:8" s="124" customFormat="1">
      <c r="B142" s="129" t="s">
        <v>5040</v>
      </c>
      <c r="C142" s="411"/>
      <c r="D142" s="412" t="s">
        <v>4994</v>
      </c>
      <c r="E142" s="458" t="s">
        <v>99</v>
      </c>
      <c r="F142" s="428">
        <v>11</v>
      </c>
      <c r="G142" s="428"/>
      <c r="H142" s="444"/>
    </row>
    <row r="143" spans="2:8" s="124" customFormat="1">
      <c r="B143" s="129" t="s">
        <v>5041</v>
      </c>
      <c r="C143" s="411"/>
      <c r="D143" s="412" t="s">
        <v>4947</v>
      </c>
      <c r="E143" s="458" t="s">
        <v>99</v>
      </c>
      <c r="F143" s="429">
        <v>4</v>
      </c>
      <c r="G143" s="428"/>
      <c r="H143" s="444"/>
    </row>
    <row r="144" spans="2:8" s="124" customFormat="1">
      <c r="B144" s="129" t="s">
        <v>5042</v>
      </c>
      <c r="C144" s="411"/>
      <c r="D144" s="412" t="s">
        <v>5043</v>
      </c>
      <c r="E144" s="458" t="s">
        <v>99</v>
      </c>
      <c r="F144" s="429">
        <v>8</v>
      </c>
      <c r="G144" s="428"/>
      <c r="H144" s="444"/>
    </row>
    <row r="145" spans="2:8" s="124" customFormat="1">
      <c r="B145" s="129" t="s">
        <v>5044</v>
      </c>
      <c r="C145" s="411"/>
      <c r="D145" s="412" t="s">
        <v>4952</v>
      </c>
      <c r="E145" s="458" t="s">
        <v>2258</v>
      </c>
      <c r="F145" s="428">
        <v>410</v>
      </c>
      <c r="G145" s="428"/>
      <c r="H145" s="444"/>
    </row>
    <row r="146" spans="2:8" s="124" customFormat="1">
      <c r="B146" s="129" t="s">
        <v>5045</v>
      </c>
      <c r="C146" s="411"/>
      <c r="D146" s="412" t="s">
        <v>4937</v>
      </c>
      <c r="E146" s="458" t="s">
        <v>2258</v>
      </c>
      <c r="F146" s="429">
        <v>20</v>
      </c>
      <c r="G146" s="428"/>
      <c r="H146" s="444"/>
    </row>
    <row r="147" spans="2:8" s="124" customFormat="1">
      <c r="B147" s="129" t="s">
        <v>5046</v>
      </c>
      <c r="C147" s="411"/>
      <c r="D147" s="412" t="s">
        <v>4939</v>
      </c>
      <c r="E147" s="458" t="s">
        <v>2258</v>
      </c>
      <c r="F147" s="429">
        <v>12</v>
      </c>
      <c r="G147" s="428"/>
      <c r="H147" s="444"/>
    </row>
    <row r="148" spans="2:8" s="124" customFormat="1">
      <c r="B148" s="129" t="s">
        <v>5047</v>
      </c>
      <c r="C148" s="413"/>
      <c r="D148" s="465" t="s">
        <v>4941</v>
      </c>
      <c r="E148" s="460" t="s">
        <v>2258</v>
      </c>
      <c r="F148" s="466">
        <v>12</v>
      </c>
      <c r="G148" s="448"/>
      <c r="H148" s="449"/>
    </row>
    <row r="149" spans="2:8" s="124" customFormat="1">
      <c r="B149" s="129" t="s">
        <v>5048</v>
      </c>
      <c r="C149" s="413"/>
      <c r="D149" s="182" t="s">
        <v>4943</v>
      </c>
      <c r="E149" s="203" t="s">
        <v>2258</v>
      </c>
      <c r="F149" s="466">
        <v>55</v>
      </c>
      <c r="G149" s="442"/>
      <c r="H149" s="443"/>
    </row>
    <row r="150" spans="2:8" s="124" customFormat="1" ht="25.5">
      <c r="B150" s="129" t="s">
        <v>5049</v>
      </c>
      <c r="C150" s="413"/>
      <c r="D150" s="332" t="s">
        <v>5050</v>
      </c>
      <c r="E150" s="460" t="s">
        <v>2258</v>
      </c>
      <c r="F150" s="466">
        <v>64</v>
      </c>
      <c r="G150" s="448"/>
      <c r="H150" s="449"/>
    </row>
    <row r="151" spans="2:8" s="124" customFormat="1">
      <c r="B151" s="129" t="s">
        <v>5051</v>
      </c>
      <c r="C151" s="413"/>
      <c r="D151" s="332" t="s">
        <v>5052</v>
      </c>
      <c r="E151" s="460" t="s">
        <v>99</v>
      </c>
      <c r="F151" s="466">
        <v>11</v>
      </c>
      <c r="G151" s="448"/>
      <c r="H151" s="449"/>
    </row>
    <row r="152" spans="2:8" s="124" customFormat="1">
      <c r="B152" s="129" t="s">
        <v>5053</v>
      </c>
      <c r="C152" s="413"/>
      <c r="D152" s="332" t="s">
        <v>5054</v>
      </c>
      <c r="E152" s="460" t="s">
        <v>99</v>
      </c>
      <c r="F152" s="466">
        <v>2</v>
      </c>
      <c r="G152" s="448"/>
      <c r="H152" s="449"/>
    </row>
    <row r="153" spans="2:8" s="124" customFormat="1" ht="25.5">
      <c r="B153" s="129" t="s">
        <v>5055</v>
      </c>
      <c r="C153" s="413"/>
      <c r="D153" s="332" t="s">
        <v>5056</v>
      </c>
      <c r="E153" s="460" t="s">
        <v>99</v>
      </c>
      <c r="F153" s="466">
        <v>1</v>
      </c>
      <c r="G153" s="448"/>
      <c r="H153" s="449"/>
    </row>
    <row r="154" spans="2:8" s="124" customFormat="1" ht="13.5" thickBot="1">
      <c r="B154" s="129" t="s">
        <v>5057</v>
      </c>
      <c r="C154" s="413"/>
      <c r="D154" s="332" t="s">
        <v>4933</v>
      </c>
      <c r="E154" s="460" t="s">
        <v>309</v>
      </c>
      <c r="F154" s="466">
        <v>1</v>
      </c>
      <c r="G154" s="448"/>
      <c r="H154" s="449"/>
    </row>
    <row r="155" spans="2:8" s="181" customFormat="1" ht="13.5" thickBot="1">
      <c r="B155" s="151" t="s">
        <v>5058</v>
      </c>
      <c r="C155" s="423"/>
      <c r="D155" s="423"/>
      <c r="E155" s="456"/>
      <c r="F155" s="424"/>
      <c r="G155" s="424"/>
      <c r="H155" s="437"/>
    </row>
    <row r="156" spans="2:8" s="124" customFormat="1">
      <c r="B156" s="408"/>
      <c r="C156" s="133" t="s">
        <v>4842</v>
      </c>
      <c r="D156" s="409" t="s">
        <v>4921</v>
      </c>
      <c r="E156" s="457"/>
      <c r="F156" s="427"/>
      <c r="G156" s="427"/>
      <c r="H156" s="440"/>
    </row>
    <row r="157" spans="2:8" s="124" customFormat="1" ht="25.5">
      <c r="B157" s="190" t="s">
        <v>5059</v>
      </c>
      <c r="C157" s="416"/>
      <c r="D157" s="144" t="s">
        <v>4962</v>
      </c>
      <c r="E157" s="467" t="s">
        <v>209</v>
      </c>
      <c r="F157" s="425">
        <v>16</v>
      </c>
      <c r="G157" s="425"/>
      <c r="H157" s="436"/>
    </row>
    <row r="158" spans="2:8" s="124" customFormat="1" ht="25.5">
      <c r="B158" s="190" t="s">
        <v>5060</v>
      </c>
      <c r="C158" s="413"/>
      <c r="D158" s="465" t="s">
        <v>4966</v>
      </c>
      <c r="E158" s="203" t="s">
        <v>209</v>
      </c>
      <c r="F158" s="466">
        <v>152</v>
      </c>
      <c r="G158" s="466"/>
      <c r="H158" s="441"/>
    </row>
    <row r="159" spans="2:8" s="124" customFormat="1" ht="25.5">
      <c r="B159" s="190" t="s">
        <v>5061</v>
      </c>
      <c r="C159" s="413"/>
      <c r="D159" s="465" t="s">
        <v>4968</v>
      </c>
      <c r="E159" s="203" t="s">
        <v>209</v>
      </c>
      <c r="F159" s="466">
        <v>70</v>
      </c>
      <c r="G159" s="466"/>
      <c r="H159" s="441"/>
    </row>
    <row r="160" spans="2:8" s="124" customFormat="1" ht="25.5">
      <c r="B160" s="190" t="s">
        <v>5062</v>
      </c>
      <c r="C160" s="413"/>
      <c r="D160" s="465" t="s">
        <v>4970</v>
      </c>
      <c r="E160" s="203" t="s">
        <v>209</v>
      </c>
      <c r="F160" s="466">
        <v>42</v>
      </c>
      <c r="G160" s="466"/>
      <c r="H160" s="441"/>
    </row>
    <row r="161" spans="2:8" s="124" customFormat="1" ht="25.5">
      <c r="B161" s="190" t="s">
        <v>5063</v>
      </c>
      <c r="C161" s="413"/>
      <c r="D161" s="465" t="s">
        <v>4923</v>
      </c>
      <c r="E161" s="203" t="s">
        <v>209</v>
      </c>
      <c r="F161" s="466">
        <v>50</v>
      </c>
      <c r="G161" s="466"/>
      <c r="H161" s="441"/>
    </row>
    <row r="162" spans="2:8" s="124" customFormat="1" ht="25.5">
      <c r="B162" s="190" t="s">
        <v>5064</v>
      </c>
      <c r="C162" s="413"/>
      <c r="D162" s="465" t="s">
        <v>4925</v>
      </c>
      <c r="E162" s="203" t="s">
        <v>209</v>
      </c>
      <c r="F162" s="466">
        <v>315</v>
      </c>
      <c r="G162" s="466"/>
      <c r="H162" s="441"/>
    </row>
    <row r="163" spans="2:8" s="124" customFormat="1" ht="25.5">
      <c r="B163" s="190" t="s">
        <v>5065</v>
      </c>
      <c r="C163" s="413"/>
      <c r="D163" s="465" t="s">
        <v>4927</v>
      </c>
      <c r="E163" s="203" t="s">
        <v>99</v>
      </c>
      <c r="F163" s="466">
        <v>30</v>
      </c>
      <c r="G163" s="442"/>
      <c r="H163" s="443"/>
    </row>
    <row r="164" spans="2:8" s="124" customFormat="1">
      <c r="B164" s="190" t="s">
        <v>5066</v>
      </c>
      <c r="C164" s="413"/>
      <c r="D164" s="465" t="s">
        <v>4929</v>
      </c>
      <c r="E164" s="203" t="s">
        <v>309</v>
      </c>
      <c r="F164" s="466">
        <v>1</v>
      </c>
      <c r="G164" s="442"/>
      <c r="H164" s="443"/>
    </row>
    <row r="165" spans="2:8" s="124" customFormat="1" ht="25.5">
      <c r="B165" s="190" t="s">
        <v>5067</v>
      </c>
      <c r="C165" s="413"/>
      <c r="D165" s="465" t="s">
        <v>4931</v>
      </c>
      <c r="E165" s="203" t="s">
        <v>99</v>
      </c>
      <c r="F165" s="466">
        <v>26</v>
      </c>
      <c r="G165" s="442"/>
      <c r="H165" s="443"/>
    </row>
    <row r="166" spans="2:8" s="124" customFormat="1">
      <c r="B166" s="190" t="s">
        <v>5068</v>
      </c>
      <c r="C166" s="413"/>
      <c r="D166" s="465" t="s">
        <v>4933</v>
      </c>
      <c r="E166" s="203" t="s">
        <v>309</v>
      </c>
      <c r="F166" s="466">
        <v>1</v>
      </c>
      <c r="G166" s="442"/>
      <c r="H166" s="443"/>
    </row>
    <row r="167" spans="2:8" s="124" customFormat="1">
      <c r="B167" s="190" t="s">
        <v>5069</v>
      </c>
      <c r="C167" s="411"/>
      <c r="D167" s="412" t="s">
        <v>4935</v>
      </c>
      <c r="E167" s="459" t="s">
        <v>2258</v>
      </c>
      <c r="F167" s="428">
        <v>354</v>
      </c>
      <c r="G167" s="428"/>
      <c r="H167" s="444"/>
    </row>
    <row r="168" spans="2:8" s="124" customFormat="1">
      <c r="B168" s="190" t="s">
        <v>5070</v>
      </c>
      <c r="C168" s="411"/>
      <c r="D168" s="412" t="s">
        <v>4937</v>
      </c>
      <c r="E168" s="459" t="s">
        <v>2258</v>
      </c>
      <c r="F168" s="428">
        <v>60</v>
      </c>
      <c r="G168" s="428"/>
      <c r="H168" s="444"/>
    </row>
    <row r="169" spans="2:8" s="124" customFormat="1">
      <c r="B169" s="190" t="s">
        <v>5071</v>
      </c>
      <c r="C169" s="411"/>
      <c r="D169" s="412" t="s">
        <v>4939</v>
      </c>
      <c r="E169" s="459" t="s">
        <v>2258</v>
      </c>
      <c r="F169" s="428">
        <v>160</v>
      </c>
      <c r="G169" s="428"/>
      <c r="H169" s="444"/>
    </row>
    <row r="170" spans="2:8" s="124" customFormat="1">
      <c r="B170" s="190" t="s">
        <v>5072</v>
      </c>
      <c r="C170" s="411"/>
      <c r="D170" s="412" t="s">
        <v>4941</v>
      </c>
      <c r="E170" s="459" t="s">
        <v>2258</v>
      </c>
      <c r="F170" s="428">
        <v>10</v>
      </c>
      <c r="G170" s="428"/>
      <c r="H170" s="444"/>
    </row>
    <row r="171" spans="2:8" s="124" customFormat="1">
      <c r="B171" s="190" t="s">
        <v>5073</v>
      </c>
      <c r="C171" s="411"/>
      <c r="D171" s="412" t="s">
        <v>4943</v>
      </c>
      <c r="E171" s="459" t="s">
        <v>2258</v>
      </c>
      <c r="F171" s="428">
        <v>90</v>
      </c>
      <c r="G171" s="428"/>
      <c r="H171" s="444"/>
    </row>
    <row r="172" spans="2:8" s="124" customFormat="1">
      <c r="B172" s="190" t="s">
        <v>5074</v>
      </c>
      <c r="C172" s="411"/>
      <c r="D172" s="412" t="s">
        <v>4954</v>
      </c>
      <c r="E172" s="459" t="s">
        <v>99</v>
      </c>
      <c r="F172" s="428">
        <v>7</v>
      </c>
      <c r="G172" s="428"/>
      <c r="H172" s="444"/>
    </row>
    <row r="173" spans="2:8" s="124" customFormat="1" ht="25.5">
      <c r="B173" s="190" t="s">
        <v>5075</v>
      </c>
      <c r="C173" s="411"/>
      <c r="D173" s="412" t="s">
        <v>4945</v>
      </c>
      <c r="E173" s="459" t="s">
        <v>99</v>
      </c>
      <c r="F173" s="428">
        <v>55</v>
      </c>
      <c r="G173" s="428"/>
      <c r="H173" s="444"/>
    </row>
    <row r="174" spans="2:8" s="124" customFormat="1">
      <c r="B174" s="190" t="s">
        <v>5076</v>
      </c>
      <c r="C174" s="411"/>
      <c r="D174" s="412" t="s">
        <v>4947</v>
      </c>
      <c r="E174" s="459" t="s">
        <v>99</v>
      </c>
      <c r="F174" s="428">
        <v>36</v>
      </c>
      <c r="G174" s="428"/>
      <c r="H174" s="444"/>
    </row>
    <row r="175" spans="2:8" s="124" customFormat="1">
      <c r="B175" s="190" t="s">
        <v>5077</v>
      </c>
      <c r="C175" s="411"/>
      <c r="D175" s="412" t="s">
        <v>4949</v>
      </c>
      <c r="E175" s="459" t="s">
        <v>99</v>
      </c>
      <c r="F175" s="428">
        <v>3</v>
      </c>
      <c r="G175" s="428"/>
      <c r="H175" s="444"/>
    </row>
    <row r="176" spans="2:8" s="124" customFormat="1">
      <c r="B176" s="190" t="s">
        <v>5078</v>
      </c>
      <c r="C176" s="411"/>
      <c r="D176" s="412" t="s">
        <v>5036</v>
      </c>
      <c r="E176" s="459" t="s">
        <v>99</v>
      </c>
      <c r="F176" s="428">
        <v>4</v>
      </c>
      <c r="G176" s="428"/>
      <c r="H176" s="444"/>
    </row>
    <row r="177" spans="2:8" s="124" customFormat="1">
      <c r="B177" s="538" t="s">
        <v>5079</v>
      </c>
      <c r="C177" s="539"/>
      <c r="D177" s="540" t="s">
        <v>4987</v>
      </c>
      <c r="E177" s="541" t="s">
        <v>99</v>
      </c>
      <c r="F177" s="542">
        <v>2</v>
      </c>
      <c r="G177" s="542"/>
      <c r="H177" s="543"/>
    </row>
    <row r="178" spans="2:8" s="124" customFormat="1">
      <c r="B178" s="136"/>
      <c r="C178" s="133" t="s">
        <v>4842</v>
      </c>
      <c r="D178" s="137" t="s">
        <v>4950</v>
      </c>
      <c r="E178" s="342"/>
      <c r="F178" s="431"/>
      <c r="G178" s="431"/>
      <c r="H178" s="447"/>
    </row>
    <row r="179" spans="2:8" s="124" customFormat="1">
      <c r="B179" s="129" t="s">
        <v>5080</v>
      </c>
      <c r="C179" s="411"/>
      <c r="D179" s="412" t="s">
        <v>4954</v>
      </c>
      <c r="E179" s="458" t="s">
        <v>99</v>
      </c>
      <c r="F179" s="428">
        <v>13</v>
      </c>
      <c r="G179" s="428"/>
      <c r="H179" s="444"/>
    </row>
    <row r="180" spans="2:8" s="124" customFormat="1">
      <c r="B180" s="129" t="s">
        <v>5081</v>
      </c>
      <c r="C180" s="411"/>
      <c r="D180" s="412" t="s">
        <v>4990</v>
      </c>
      <c r="E180" s="458" t="s">
        <v>99</v>
      </c>
      <c r="F180" s="429">
        <v>1</v>
      </c>
      <c r="G180" s="428"/>
      <c r="H180" s="444"/>
    </row>
    <row r="181" spans="2:8" s="124" customFormat="1">
      <c r="B181" s="129" t="s">
        <v>5082</v>
      </c>
      <c r="C181" s="411"/>
      <c r="D181" s="412" t="s">
        <v>4947</v>
      </c>
      <c r="E181" s="458" t="s">
        <v>99</v>
      </c>
      <c r="F181" s="428">
        <v>2</v>
      </c>
      <c r="G181" s="428"/>
      <c r="H181" s="444"/>
    </row>
    <row r="182" spans="2:8" s="124" customFormat="1">
      <c r="B182" s="129" t="s">
        <v>5083</v>
      </c>
      <c r="C182" s="411"/>
      <c r="D182" s="412" t="s">
        <v>4994</v>
      </c>
      <c r="E182" s="458" t="s">
        <v>99</v>
      </c>
      <c r="F182" s="429">
        <v>6</v>
      </c>
      <c r="G182" s="428"/>
      <c r="H182" s="444"/>
    </row>
    <row r="183" spans="2:8" s="124" customFormat="1">
      <c r="B183" s="129" t="s">
        <v>5084</v>
      </c>
      <c r="C183" s="411"/>
      <c r="D183" s="412" t="s">
        <v>4952</v>
      </c>
      <c r="E183" s="458" t="s">
        <v>2258</v>
      </c>
      <c r="F183" s="429">
        <v>235</v>
      </c>
      <c r="G183" s="428"/>
      <c r="H183" s="444"/>
    </row>
    <row r="184" spans="2:8" s="124" customFormat="1">
      <c r="B184" s="129" t="s">
        <v>5085</v>
      </c>
      <c r="C184" s="411"/>
      <c r="D184" s="412" t="s">
        <v>4937</v>
      </c>
      <c r="E184" s="458" t="s">
        <v>2258</v>
      </c>
      <c r="F184" s="428">
        <v>13</v>
      </c>
      <c r="G184" s="428"/>
      <c r="H184" s="444"/>
    </row>
    <row r="185" spans="2:8" s="124" customFormat="1">
      <c r="B185" s="129" t="s">
        <v>5086</v>
      </c>
      <c r="C185" s="411"/>
      <c r="D185" s="412" t="s">
        <v>4939</v>
      </c>
      <c r="E185" s="458" t="s">
        <v>2258</v>
      </c>
      <c r="F185" s="429">
        <v>14</v>
      </c>
      <c r="G185" s="428"/>
      <c r="H185" s="444"/>
    </row>
    <row r="186" spans="2:8" s="124" customFormat="1">
      <c r="B186" s="129" t="s">
        <v>5087</v>
      </c>
      <c r="C186" s="411"/>
      <c r="D186" s="412" t="s">
        <v>4941</v>
      </c>
      <c r="E186" s="458" t="s">
        <v>2258</v>
      </c>
      <c r="F186" s="429">
        <v>15</v>
      </c>
      <c r="G186" s="428"/>
      <c r="H186" s="444"/>
    </row>
    <row r="187" spans="2:8" s="124" customFormat="1">
      <c r="B187" s="129" t="s">
        <v>5088</v>
      </c>
      <c r="C187" s="413"/>
      <c r="D187" s="332" t="s">
        <v>4943</v>
      </c>
      <c r="E187" s="460" t="s">
        <v>2258</v>
      </c>
      <c r="F187" s="466">
        <v>42</v>
      </c>
      <c r="G187" s="448"/>
      <c r="H187" s="449"/>
    </row>
    <row r="188" spans="2:8" s="124" customFormat="1" ht="25.5">
      <c r="B188" s="129" t="s">
        <v>5089</v>
      </c>
      <c r="C188" s="413"/>
      <c r="D188" s="332" t="s">
        <v>5090</v>
      </c>
      <c r="E188" s="460" t="s">
        <v>99</v>
      </c>
      <c r="F188" s="466">
        <v>1</v>
      </c>
      <c r="G188" s="448"/>
      <c r="H188" s="449"/>
    </row>
    <row r="189" spans="2:8" s="124" customFormat="1" ht="13.5" thickBot="1">
      <c r="B189" s="129" t="s">
        <v>5091</v>
      </c>
      <c r="C189" s="413"/>
      <c r="D189" s="332" t="s">
        <v>4933</v>
      </c>
      <c r="E189" s="460" t="s">
        <v>309</v>
      </c>
      <c r="F189" s="466">
        <v>1</v>
      </c>
      <c r="G189" s="448"/>
      <c r="H189" s="449"/>
    </row>
    <row r="190" spans="2:8" s="181" customFormat="1" ht="13.5" thickBot="1">
      <c r="B190" s="151" t="s">
        <v>5092</v>
      </c>
      <c r="C190" s="423"/>
      <c r="D190" s="423" t="s">
        <v>272</v>
      </c>
      <c r="E190" s="456"/>
      <c r="F190" s="424"/>
      <c r="G190" s="424"/>
      <c r="H190" s="437"/>
    </row>
    <row r="191" spans="2:8" s="124" customFormat="1">
      <c r="B191" s="408"/>
      <c r="C191" s="133" t="s">
        <v>4842</v>
      </c>
      <c r="D191" s="409" t="s">
        <v>4921</v>
      </c>
      <c r="E191" s="457"/>
      <c r="F191" s="427"/>
      <c r="G191" s="427"/>
      <c r="H191" s="440"/>
    </row>
    <row r="192" spans="2:8" s="124" customFormat="1" ht="25.5">
      <c r="B192" s="129" t="s">
        <v>5093</v>
      </c>
      <c r="C192" s="413"/>
      <c r="D192" s="465" t="s">
        <v>4962</v>
      </c>
      <c r="E192" s="203" t="s">
        <v>209</v>
      </c>
      <c r="F192" s="466">
        <v>16</v>
      </c>
      <c r="G192" s="466"/>
      <c r="H192" s="441"/>
    </row>
    <row r="193" spans="2:8" s="124" customFormat="1" ht="25.5">
      <c r="B193" s="129" t="s">
        <v>5094</v>
      </c>
      <c r="C193" s="413"/>
      <c r="D193" s="465" t="s">
        <v>4966</v>
      </c>
      <c r="E193" s="203" t="s">
        <v>209</v>
      </c>
      <c r="F193" s="466">
        <v>160</v>
      </c>
      <c r="G193" s="466"/>
      <c r="H193" s="441"/>
    </row>
    <row r="194" spans="2:8" s="124" customFormat="1" ht="25.5">
      <c r="B194" s="129" t="s">
        <v>5095</v>
      </c>
      <c r="C194" s="413"/>
      <c r="D194" s="465" t="s">
        <v>4968</v>
      </c>
      <c r="E194" s="203" t="s">
        <v>209</v>
      </c>
      <c r="F194" s="466">
        <v>52</v>
      </c>
      <c r="G194" s="466"/>
      <c r="H194" s="441"/>
    </row>
    <row r="195" spans="2:8" s="124" customFormat="1" ht="25.5">
      <c r="B195" s="129" t="s">
        <v>5096</v>
      </c>
      <c r="C195" s="413"/>
      <c r="D195" s="465" t="s">
        <v>4970</v>
      </c>
      <c r="E195" s="203" t="s">
        <v>209</v>
      </c>
      <c r="F195" s="466">
        <v>36</v>
      </c>
      <c r="G195" s="466"/>
      <c r="H195" s="441"/>
    </row>
    <row r="196" spans="2:8" s="124" customFormat="1" ht="25.5">
      <c r="B196" s="129" t="s">
        <v>5097</v>
      </c>
      <c r="C196" s="413"/>
      <c r="D196" s="465" t="s">
        <v>4923</v>
      </c>
      <c r="E196" s="203" t="s">
        <v>209</v>
      </c>
      <c r="F196" s="466">
        <v>19</v>
      </c>
      <c r="G196" s="466"/>
      <c r="H196" s="441"/>
    </row>
    <row r="197" spans="2:8" s="124" customFormat="1" ht="25.5">
      <c r="B197" s="129" t="s">
        <v>5098</v>
      </c>
      <c r="C197" s="413"/>
      <c r="D197" s="465" t="s">
        <v>4925</v>
      </c>
      <c r="E197" s="203" t="s">
        <v>209</v>
      </c>
      <c r="F197" s="466">
        <v>327</v>
      </c>
      <c r="G197" s="466"/>
      <c r="H197" s="441"/>
    </row>
    <row r="198" spans="2:8" s="124" customFormat="1" ht="25.5">
      <c r="B198" s="129" t="s">
        <v>5099</v>
      </c>
      <c r="C198" s="413"/>
      <c r="D198" s="465" t="s">
        <v>4927</v>
      </c>
      <c r="E198" s="203" t="s">
        <v>99</v>
      </c>
      <c r="F198" s="466">
        <v>28</v>
      </c>
      <c r="G198" s="442"/>
      <c r="H198" s="443"/>
    </row>
    <row r="199" spans="2:8" s="124" customFormat="1">
      <c r="B199" s="129" t="s">
        <v>5100</v>
      </c>
      <c r="C199" s="413"/>
      <c r="D199" s="465" t="s">
        <v>4929</v>
      </c>
      <c r="E199" s="203" t="s">
        <v>309</v>
      </c>
      <c r="F199" s="466">
        <v>1</v>
      </c>
      <c r="G199" s="442"/>
      <c r="H199" s="443"/>
    </row>
    <row r="200" spans="2:8" s="124" customFormat="1" ht="25.5">
      <c r="B200" s="129" t="s">
        <v>5101</v>
      </c>
      <c r="C200" s="413"/>
      <c r="D200" s="465" t="s">
        <v>4931</v>
      </c>
      <c r="E200" s="203" t="s">
        <v>99</v>
      </c>
      <c r="F200" s="466">
        <v>24</v>
      </c>
      <c r="G200" s="442"/>
      <c r="H200" s="443"/>
    </row>
    <row r="201" spans="2:8" s="124" customFormat="1">
      <c r="B201" s="129" t="s">
        <v>5102</v>
      </c>
      <c r="C201" s="413"/>
      <c r="D201" s="465" t="s">
        <v>4933</v>
      </c>
      <c r="E201" s="203" t="s">
        <v>309</v>
      </c>
      <c r="F201" s="466">
        <v>1</v>
      </c>
      <c r="G201" s="442"/>
      <c r="H201" s="443"/>
    </row>
    <row r="202" spans="2:8" s="124" customFormat="1">
      <c r="B202" s="129" t="s">
        <v>5103</v>
      </c>
      <c r="C202" s="411"/>
      <c r="D202" s="412" t="s">
        <v>4935</v>
      </c>
      <c r="E202" s="459" t="s">
        <v>2258</v>
      </c>
      <c r="F202" s="428">
        <v>338</v>
      </c>
      <c r="G202" s="428"/>
      <c r="H202" s="444"/>
    </row>
    <row r="203" spans="2:8" s="124" customFormat="1">
      <c r="B203" s="129" t="s">
        <v>5104</v>
      </c>
      <c r="C203" s="411"/>
      <c r="D203" s="412" t="s">
        <v>4937</v>
      </c>
      <c r="E203" s="459" t="s">
        <v>2258</v>
      </c>
      <c r="F203" s="428">
        <v>60</v>
      </c>
      <c r="G203" s="428"/>
      <c r="H203" s="444"/>
    </row>
    <row r="204" spans="2:8" s="124" customFormat="1">
      <c r="B204" s="129" t="s">
        <v>5105</v>
      </c>
      <c r="C204" s="411"/>
      <c r="D204" s="412" t="s">
        <v>4939</v>
      </c>
      <c r="E204" s="459" t="s">
        <v>2258</v>
      </c>
      <c r="F204" s="428">
        <v>150</v>
      </c>
      <c r="G204" s="428"/>
      <c r="H204" s="444"/>
    </row>
    <row r="205" spans="2:8" s="124" customFormat="1">
      <c r="B205" s="129" t="s">
        <v>5106</v>
      </c>
      <c r="C205" s="411"/>
      <c r="D205" s="412" t="s">
        <v>4941</v>
      </c>
      <c r="E205" s="459" t="s">
        <v>2258</v>
      </c>
      <c r="F205" s="428">
        <v>12</v>
      </c>
      <c r="G205" s="428"/>
      <c r="H205" s="444"/>
    </row>
    <row r="206" spans="2:8" s="124" customFormat="1">
      <c r="B206" s="129" t="s">
        <v>5107</v>
      </c>
      <c r="C206" s="411"/>
      <c r="D206" s="412" t="s">
        <v>4943</v>
      </c>
      <c r="E206" s="459" t="s">
        <v>2258</v>
      </c>
      <c r="F206" s="428">
        <v>42</v>
      </c>
      <c r="G206" s="428"/>
      <c r="H206" s="444"/>
    </row>
    <row r="207" spans="2:8" s="124" customFormat="1">
      <c r="B207" s="129" t="s">
        <v>5108</v>
      </c>
      <c r="C207" s="411"/>
      <c r="D207" s="412" t="s">
        <v>4954</v>
      </c>
      <c r="E207" s="459" t="s">
        <v>99</v>
      </c>
      <c r="F207" s="428">
        <v>7</v>
      </c>
      <c r="G207" s="428"/>
      <c r="H207" s="444"/>
    </row>
    <row r="208" spans="2:8" s="124" customFormat="1" ht="25.5">
      <c r="B208" s="129" t="s">
        <v>5109</v>
      </c>
      <c r="C208" s="411"/>
      <c r="D208" s="412" t="s">
        <v>4945</v>
      </c>
      <c r="E208" s="459" t="s">
        <v>99</v>
      </c>
      <c r="F208" s="428">
        <v>47</v>
      </c>
      <c r="G208" s="428"/>
      <c r="H208" s="444"/>
    </row>
    <row r="209" spans="2:8" s="124" customFormat="1">
      <c r="B209" s="129" t="s">
        <v>5110</v>
      </c>
      <c r="C209" s="411"/>
      <c r="D209" s="412" t="s">
        <v>4947</v>
      </c>
      <c r="E209" s="459" t="s">
        <v>99</v>
      </c>
      <c r="F209" s="428">
        <v>33</v>
      </c>
      <c r="G209" s="428"/>
      <c r="H209" s="444"/>
    </row>
    <row r="210" spans="2:8" s="124" customFormat="1">
      <c r="B210" s="129" t="s">
        <v>5111</v>
      </c>
      <c r="C210" s="411"/>
      <c r="D210" s="412" t="s">
        <v>4949</v>
      </c>
      <c r="E210" s="459" t="s">
        <v>99</v>
      </c>
      <c r="F210" s="428">
        <v>4</v>
      </c>
      <c r="G210" s="428"/>
      <c r="H210" s="444"/>
    </row>
    <row r="211" spans="2:8" s="124" customFormat="1">
      <c r="B211" s="129" t="s">
        <v>5112</v>
      </c>
      <c r="C211" s="411"/>
      <c r="D211" s="412" t="s">
        <v>4987</v>
      </c>
      <c r="E211" s="459" t="s">
        <v>99</v>
      </c>
      <c r="F211" s="428">
        <v>2</v>
      </c>
      <c r="G211" s="428"/>
      <c r="H211" s="444"/>
    </row>
    <row r="212" spans="2:8" s="124" customFormat="1">
      <c r="B212" s="136"/>
      <c r="C212" s="133" t="s">
        <v>4842</v>
      </c>
      <c r="D212" s="414" t="s">
        <v>4950</v>
      </c>
      <c r="E212" s="203"/>
      <c r="F212" s="466"/>
      <c r="G212" s="466"/>
      <c r="H212" s="441"/>
    </row>
    <row r="213" spans="2:8" s="124" customFormat="1">
      <c r="B213" s="129" t="s">
        <v>5113</v>
      </c>
      <c r="C213" s="411"/>
      <c r="D213" s="412" t="s">
        <v>4954</v>
      </c>
      <c r="E213" s="458" t="s">
        <v>99</v>
      </c>
      <c r="F213" s="428">
        <v>13</v>
      </c>
      <c r="G213" s="428"/>
      <c r="H213" s="444"/>
    </row>
    <row r="214" spans="2:8" s="124" customFormat="1">
      <c r="B214" s="129" t="s">
        <v>5114</v>
      </c>
      <c r="C214" s="411"/>
      <c r="D214" s="412" t="s">
        <v>4990</v>
      </c>
      <c r="E214" s="458" t="s">
        <v>99</v>
      </c>
      <c r="F214" s="428">
        <v>2</v>
      </c>
      <c r="G214" s="428"/>
      <c r="H214" s="444"/>
    </row>
    <row r="215" spans="2:8" s="124" customFormat="1">
      <c r="B215" s="129" t="s">
        <v>5115</v>
      </c>
      <c r="C215" s="411"/>
      <c r="D215" s="412" t="s">
        <v>4994</v>
      </c>
      <c r="E215" s="458" t="s">
        <v>99</v>
      </c>
      <c r="F215" s="429">
        <v>6</v>
      </c>
      <c r="G215" s="428"/>
      <c r="H215" s="444"/>
    </row>
    <row r="216" spans="2:8" s="124" customFormat="1">
      <c r="B216" s="129" t="s">
        <v>5116</v>
      </c>
      <c r="C216" s="411"/>
      <c r="D216" s="412" t="s">
        <v>4947</v>
      </c>
      <c r="E216" s="458" t="s">
        <v>99</v>
      </c>
      <c r="F216" s="429">
        <v>2</v>
      </c>
      <c r="G216" s="428"/>
      <c r="H216" s="444"/>
    </row>
    <row r="217" spans="2:8" s="124" customFormat="1">
      <c r="B217" s="129" t="s">
        <v>5117</v>
      </c>
      <c r="C217" s="411"/>
      <c r="D217" s="412" t="s">
        <v>4952</v>
      </c>
      <c r="E217" s="458" t="s">
        <v>2258</v>
      </c>
      <c r="F217" s="429">
        <v>353</v>
      </c>
      <c r="G217" s="428"/>
      <c r="H217" s="444"/>
    </row>
    <row r="218" spans="2:8" s="124" customFormat="1">
      <c r="B218" s="129" t="s">
        <v>5118</v>
      </c>
      <c r="C218" s="411"/>
      <c r="D218" s="412" t="s">
        <v>4937</v>
      </c>
      <c r="E218" s="458" t="s">
        <v>2258</v>
      </c>
      <c r="F218" s="428">
        <v>12</v>
      </c>
      <c r="G218" s="428"/>
      <c r="H218" s="444"/>
    </row>
    <row r="219" spans="2:8" s="124" customFormat="1">
      <c r="B219" s="129" t="s">
        <v>5119</v>
      </c>
      <c r="C219" s="411"/>
      <c r="D219" s="412" t="s">
        <v>4939</v>
      </c>
      <c r="E219" s="458" t="s">
        <v>2258</v>
      </c>
      <c r="F219" s="429">
        <v>12</v>
      </c>
      <c r="G219" s="428"/>
      <c r="H219" s="444"/>
    </row>
    <row r="220" spans="2:8" s="124" customFormat="1">
      <c r="B220" s="129" t="s">
        <v>5120</v>
      </c>
      <c r="C220" s="411"/>
      <c r="D220" s="412" t="s">
        <v>4941</v>
      </c>
      <c r="E220" s="458" t="s">
        <v>2258</v>
      </c>
      <c r="F220" s="429">
        <v>12</v>
      </c>
      <c r="G220" s="428"/>
      <c r="H220" s="444"/>
    </row>
    <row r="221" spans="2:8" s="124" customFormat="1">
      <c r="B221" s="129" t="s">
        <v>5121</v>
      </c>
      <c r="C221" s="539"/>
      <c r="D221" s="540" t="s">
        <v>4943</v>
      </c>
      <c r="E221" s="544" t="s">
        <v>2258</v>
      </c>
      <c r="F221" s="545">
        <v>48</v>
      </c>
      <c r="G221" s="542"/>
      <c r="H221" s="543"/>
    </row>
    <row r="222" spans="2:8" s="124" customFormat="1" ht="13.5" thickBot="1">
      <c r="B222" s="129" t="s">
        <v>5122</v>
      </c>
      <c r="C222" s="419"/>
      <c r="D222" s="373" t="s">
        <v>4933</v>
      </c>
      <c r="E222" s="462" t="s">
        <v>309</v>
      </c>
      <c r="F222" s="430">
        <v>1</v>
      </c>
      <c r="G222" s="452"/>
      <c r="H222" s="453"/>
    </row>
    <row r="223" spans="2:8" s="181" customFormat="1" ht="13.5" thickBot="1">
      <c r="B223" s="151" t="s">
        <v>5123</v>
      </c>
      <c r="C223" s="423"/>
      <c r="D223" s="423"/>
      <c r="E223" s="456"/>
      <c r="F223" s="424"/>
      <c r="G223" s="424"/>
      <c r="H223" s="437"/>
    </row>
    <row r="224" spans="2:8" s="124" customFormat="1">
      <c r="B224" s="408"/>
      <c r="C224" s="133" t="s">
        <v>4842</v>
      </c>
      <c r="D224" s="409" t="s">
        <v>4921</v>
      </c>
      <c r="E224" s="457"/>
      <c r="F224" s="427"/>
      <c r="G224" s="427"/>
      <c r="H224" s="440"/>
    </row>
    <row r="225" spans="2:8" s="124" customFormat="1" ht="25.5">
      <c r="B225" s="129" t="s">
        <v>5124</v>
      </c>
      <c r="C225" s="413"/>
      <c r="D225" s="465" t="s">
        <v>4964</v>
      </c>
      <c r="E225" s="203" t="s">
        <v>209</v>
      </c>
      <c r="F225" s="466">
        <v>10</v>
      </c>
      <c r="G225" s="466"/>
      <c r="H225" s="441"/>
    </row>
    <row r="226" spans="2:8" s="124" customFormat="1" ht="25.5">
      <c r="B226" s="129" t="s">
        <v>5125</v>
      </c>
      <c r="C226" s="413"/>
      <c r="D226" s="465" t="s">
        <v>4966</v>
      </c>
      <c r="E226" s="203" t="s">
        <v>209</v>
      </c>
      <c r="F226" s="466">
        <v>172</v>
      </c>
      <c r="G226" s="466"/>
      <c r="H226" s="441"/>
    </row>
    <row r="227" spans="2:8" s="124" customFormat="1" ht="25.5">
      <c r="B227" s="129" t="s">
        <v>5126</v>
      </c>
      <c r="C227" s="413"/>
      <c r="D227" s="465" t="s">
        <v>4968</v>
      </c>
      <c r="E227" s="203" t="s">
        <v>209</v>
      </c>
      <c r="F227" s="466">
        <v>51</v>
      </c>
      <c r="G227" s="466"/>
      <c r="H227" s="441"/>
    </row>
    <row r="228" spans="2:8" s="124" customFormat="1" ht="25.5">
      <c r="B228" s="129" t="s">
        <v>5127</v>
      </c>
      <c r="C228" s="413"/>
      <c r="D228" s="465" t="s">
        <v>4970</v>
      </c>
      <c r="E228" s="203" t="s">
        <v>209</v>
      </c>
      <c r="F228" s="466">
        <v>36</v>
      </c>
      <c r="G228" s="466"/>
      <c r="H228" s="441"/>
    </row>
    <row r="229" spans="2:8" s="124" customFormat="1" ht="25.5">
      <c r="B229" s="129" t="s">
        <v>5128</v>
      </c>
      <c r="C229" s="413"/>
      <c r="D229" s="465" t="s">
        <v>4923</v>
      </c>
      <c r="E229" s="203" t="s">
        <v>209</v>
      </c>
      <c r="F229" s="466">
        <v>21</v>
      </c>
      <c r="G229" s="466"/>
      <c r="H229" s="441"/>
    </row>
    <row r="230" spans="2:8" s="124" customFormat="1" ht="25.5">
      <c r="B230" s="129" t="s">
        <v>5129</v>
      </c>
      <c r="C230" s="413"/>
      <c r="D230" s="465" t="s">
        <v>4925</v>
      </c>
      <c r="E230" s="203" t="s">
        <v>209</v>
      </c>
      <c r="F230" s="466">
        <v>369</v>
      </c>
      <c r="G230" s="466"/>
      <c r="H230" s="441"/>
    </row>
    <row r="231" spans="2:8" s="124" customFormat="1" ht="25.5">
      <c r="B231" s="129" t="s">
        <v>5130</v>
      </c>
      <c r="C231" s="413"/>
      <c r="D231" s="465" t="s">
        <v>4927</v>
      </c>
      <c r="E231" s="203" t="s">
        <v>99</v>
      </c>
      <c r="F231" s="466">
        <v>37</v>
      </c>
      <c r="G231" s="442"/>
      <c r="H231" s="443"/>
    </row>
    <row r="232" spans="2:8" s="124" customFormat="1">
      <c r="B232" s="129" t="s">
        <v>5131</v>
      </c>
      <c r="C232" s="413"/>
      <c r="D232" s="465" t="s">
        <v>4929</v>
      </c>
      <c r="E232" s="203" t="s">
        <v>309</v>
      </c>
      <c r="F232" s="466">
        <v>1</v>
      </c>
      <c r="G232" s="442"/>
      <c r="H232" s="443"/>
    </row>
    <row r="233" spans="2:8" s="124" customFormat="1" ht="25.5">
      <c r="B233" s="129" t="s">
        <v>5132</v>
      </c>
      <c r="C233" s="413"/>
      <c r="D233" s="465" t="s">
        <v>4931</v>
      </c>
      <c r="E233" s="203" t="s">
        <v>99</v>
      </c>
      <c r="F233" s="466">
        <v>33</v>
      </c>
      <c r="G233" s="442"/>
      <c r="H233" s="443"/>
    </row>
    <row r="234" spans="2:8" s="124" customFormat="1">
      <c r="B234" s="129" t="s">
        <v>5133</v>
      </c>
      <c r="C234" s="413"/>
      <c r="D234" s="465" t="s">
        <v>4933</v>
      </c>
      <c r="E234" s="203" t="s">
        <v>309</v>
      </c>
      <c r="F234" s="466">
        <v>1</v>
      </c>
      <c r="G234" s="442"/>
      <c r="H234" s="443"/>
    </row>
    <row r="235" spans="2:8" s="124" customFormat="1">
      <c r="B235" s="129" t="s">
        <v>5134</v>
      </c>
      <c r="C235" s="411"/>
      <c r="D235" s="412" t="s">
        <v>4935</v>
      </c>
      <c r="E235" s="459" t="s">
        <v>2258</v>
      </c>
      <c r="F235" s="428">
        <v>330</v>
      </c>
      <c r="G235" s="428"/>
      <c r="H235" s="444"/>
    </row>
    <row r="236" spans="2:8" s="124" customFormat="1">
      <c r="B236" s="129" t="s">
        <v>5135</v>
      </c>
      <c r="C236" s="411"/>
      <c r="D236" s="412" t="s">
        <v>4937</v>
      </c>
      <c r="E236" s="459" t="s">
        <v>2258</v>
      </c>
      <c r="F236" s="428">
        <v>42</v>
      </c>
      <c r="G236" s="428"/>
      <c r="H236" s="444"/>
    </row>
    <row r="237" spans="2:8" s="124" customFormat="1">
      <c r="B237" s="129" t="s">
        <v>5136</v>
      </c>
      <c r="C237" s="411"/>
      <c r="D237" s="412" t="s">
        <v>4939</v>
      </c>
      <c r="E237" s="459" t="s">
        <v>2258</v>
      </c>
      <c r="F237" s="428">
        <v>150</v>
      </c>
      <c r="G237" s="428"/>
      <c r="H237" s="444"/>
    </row>
    <row r="238" spans="2:8" s="124" customFormat="1">
      <c r="B238" s="129" t="s">
        <v>5137</v>
      </c>
      <c r="C238" s="411"/>
      <c r="D238" s="412" t="s">
        <v>4941</v>
      </c>
      <c r="E238" s="459" t="s">
        <v>2258</v>
      </c>
      <c r="F238" s="428">
        <v>12</v>
      </c>
      <c r="G238" s="428"/>
      <c r="H238" s="444"/>
    </row>
    <row r="239" spans="2:8" s="124" customFormat="1">
      <c r="B239" s="129" t="s">
        <v>5138</v>
      </c>
      <c r="C239" s="411"/>
      <c r="D239" s="412" t="s">
        <v>4943</v>
      </c>
      <c r="E239" s="459" t="s">
        <v>2258</v>
      </c>
      <c r="F239" s="428">
        <v>42</v>
      </c>
      <c r="G239" s="428"/>
      <c r="H239" s="444"/>
    </row>
    <row r="240" spans="2:8" s="124" customFormat="1">
      <c r="B240" s="129" t="s">
        <v>5139</v>
      </c>
      <c r="C240" s="411"/>
      <c r="D240" s="412" t="s">
        <v>4954</v>
      </c>
      <c r="E240" s="459" t="s">
        <v>99</v>
      </c>
      <c r="F240" s="428">
        <v>7</v>
      </c>
      <c r="G240" s="428"/>
      <c r="H240" s="444"/>
    </row>
    <row r="241" spans="2:8" s="124" customFormat="1" ht="25.5">
      <c r="B241" s="129" t="s">
        <v>5140</v>
      </c>
      <c r="C241" s="411"/>
      <c r="D241" s="412" t="s">
        <v>4945</v>
      </c>
      <c r="E241" s="459" t="s">
        <v>99</v>
      </c>
      <c r="F241" s="428">
        <v>47</v>
      </c>
      <c r="G241" s="428"/>
      <c r="H241" s="444"/>
    </row>
    <row r="242" spans="2:8" s="124" customFormat="1">
      <c r="B242" s="129" t="s">
        <v>5141</v>
      </c>
      <c r="C242" s="411"/>
      <c r="D242" s="412" t="s">
        <v>4947</v>
      </c>
      <c r="E242" s="459" t="s">
        <v>99</v>
      </c>
      <c r="F242" s="428">
        <v>39</v>
      </c>
      <c r="G242" s="428"/>
      <c r="H242" s="444"/>
    </row>
    <row r="243" spans="2:8" s="124" customFormat="1">
      <c r="B243" s="129" t="s">
        <v>5142</v>
      </c>
      <c r="C243" s="411"/>
      <c r="D243" s="412" t="s">
        <v>4949</v>
      </c>
      <c r="E243" s="459" t="s">
        <v>99</v>
      </c>
      <c r="F243" s="428">
        <v>4</v>
      </c>
      <c r="G243" s="428"/>
      <c r="H243" s="444"/>
    </row>
    <row r="244" spans="2:8" s="124" customFormat="1">
      <c r="B244" s="547" t="s">
        <v>5143</v>
      </c>
      <c r="C244" s="539"/>
      <c r="D244" s="540" t="s">
        <v>4987</v>
      </c>
      <c r="E244" s="541" t="s">
        <v>99</v>
      </c>
      <c r="F244" s="542">
        <v>2</v>
      </c>
      <c r="G244" s="542"/>
      <c r="H244" s="543"/>
    </row>
    <row r="245" spans="2:8" s="124" customFormat="1">
      <c r="B245" s="136"/>
      <c r="C245" s="133" t="s">
        <v>4842</v>
      </c>
      <c r="D245" s="137" t="s">
        <v>4950</v>
      </c>
      <c r="E245" s="342"/>
      <c r="F245" s="431"/>
      <c r="G245" s="431"/>
      <c r="H245" s="447"/>
    </row>
    <row r="246" spans="2:8" s="124" customFormat="1">
      <c r="B246" s="129" t="s">
        <v>5144</v>
      </c>
      <c r="C246" s="411"/>
      <c r="D246" s="412" t="s">
        <v>4954</v>
      </c>
      <c r="E246" s="458" t="s">
        <v>99</v>
      </c>
      <c r="F246" s="428">
        <v>13</v>
      </c>
      <c r="G246" s="428"/>
      <c r="H246" s="444"/>
    </row>
    <row r="247" spans="2:8" s="124" customFormat="1">
      <c r="B247" s="129" t="s">
        <v>5145</v>
      </c>
      <c r="C247" s="411"/>
      <c r="D247" s="412" t="s">
        <v>4990</v>
      </c>
      <c r="E247" s="458" t="s">
        <v>99</v>
      </c>
      <c r="F247" s="428">
        <v>2</v>
      </c>
      <c r="G247" s="428"/>
      <c r="H247" s="444"/>
    </row>
    <row r="248" spans="2:8" s="124" customFormat="1">
      <c r="B248" s="129" t="s">
        <v>5146</v>
      </c>
      <c r="C248" s="411"/>
      <c r="D248" s="412" t="s">
        <v>4994</v>
      </c>
      <c r="E248" s="458" t="s">
        <v>99</v>
      </c>
      <c r="F248" s="429">
        <v>6</v>
      </c>
      <c r="G248" s="428"/>
      <c r="H248" s="444"/>
    </row>
    <row r="249" spans="2:8" s="124" customFormat="1">
      <c r="B249" s="129" t="s">
        <v>5147</v>
      </c>
      <c r="C249" s="411"/>
      <c r="D249" s="412" t="s">
        <v>4947</v>
      </c>
      <c r="E249" s="458" t="s">
        <v>99</v>
      </c>
      <c r="F249" s="429">
        <v>2</v>
      </c>
      <c r="G249" s="428"/>
      <c r="H249" s="444"/>
    </row>
    <row r="250" spans="2:8" s="124" customFormat="1">
      <c r="B250" s="129" t="s">
        <v>5148</v>
      </c>
      <c r="C250" s="411"/>
      <c r="D250" s="412" t="s">
        <v>4952</v>
      </c>
      <c r="E250" s="458" t="s">
        <v>2258</v>
      </c>
      <c r="F250" s="429">
        <v>389</v>
      </c>
      <c r="G250" s="428"/>
      <c r="H250" s="444"/>
    </row>
    <row r="251" spans="2:8" s="124" customFormat="1">
      <c r="B251" s="129" t="s">
        <v>5149</v>
      </c>
      <c r="C251" s="411"/>
      <c r="D251" s="412" t="s">
        <v>4937</v>
      </c>
      <c r="E251" s="458" t="s">
        <v>2258</v>
      </c>
      <c r="F251" s="428">
        <v>12</v>
      </c>
      <c r="G251" s="428"/>
      <c r="H251" s="444"/>
    </row>
    <row r="252" spans="2:8" s="124" customFormat="1">
      <c r="B252" s="129" t="s">
        <v>5150</v>
      </c>
      <c r="C252" s="411"/>
      <c r="D252" s="412" t="s">
        <v>4939</v>
      </c>
      <c r="E252" s="458" t="s">
        <v>2258</v>
      </c>
      <c r="F252" s="429">
        <v>12</v>
      </c>
      <c r="G252" s="428"/>
      <c r="H252" s="444"/>
    </row>
    <row r="253" spans="2:8" s="124" customFormat="1">
      <c r="B253" s="129" t="s">
        <v>5151</v>
      </c>
      <c r="C253" s="411"/>
      <c r="D253" s="412" t="s">
        <v>4941</v>
      </c>
      <c r="E253" s="458" t="s">
        <v>2258</v>
      </c>
      <c r="F253" s="429">
        <v>12</v>
      </c>
      <c r="G253" s="428"/>
      <c r="H253" s="444"/>
    </row>
    <row r="254" spans="2:8" s="124" customFormat="1">
      <c r="B254" s="129" t="s">
        <v>5152</v>
      </c>
      <c r="C254" s="539"/>
      <c r="D254" s="540" t="s">
        <v>4943</v>
      </c>
      <c r="E254" s="544" t="s">
        <v>2258</v>
      </c>
      <c r="F254" s="545">
        <v>45</v>
      </c>
      <c r="G254" s="542"/>
      <c r="H254" s="543"/>
    </row>
    <row r="255" spans="2:8" s="124" customFormat="1" ht="13.5" thickBot="1">
      <c r="B255" s="129" t="s">
        <v>5153</v>
      </c>
      <c r="C255" s="539"/>
      <c r="D255" s="540" t="s">
        <v>4933</v>
      </c>
      <c r="E255" s="544" t="s">
        <v>309</v>
      </c>
      <c r="F255" s="545">
        <v>1</v>
      </c>
      <c r="G255" s="542"/>
      <c r="H255" s="543"/>
    </row>
    <row r="256" spans="2:8" s="181" customFormat="1" ht="13.5" thickBot="1">
      <c r="B256" s="151" t="s">
        <v>5154</v>
      </c>
      <c r="C256" s="423"/>
      <c r="D256" s="423"/>
      <c r="E256" s="456"/>
      <c r="F256" s="424"/>
      <c r="G256" s="424"/>
      <c r="H256" s="437"/>
    </row>
    <row r="257" spans="2:8" s="124" customFormat="1">
      <c r="B257" s="132"/>
      <c r="C257" s="133" t="s">
        <v>4842</v>
      </c>
      <c r="D257" s="134" t="s">
        <v>4921</v>
      </c>
      <c r="E257" s="463"/>
      <c r="F257" s="434"/>
      <c r="G257" s="434"/>
      <c r="H257" s="455"/>
    </row>
    <row r="258" spans="2:8" s="124" customFormat="1" ht="25.5">
      <c r="B258" s="129" t="s">
        <v>5155</v>
      </c>
      <c r="C258" s="413"/>
      <c r="D258" s="465" t="s">
        <v>4964</v>
      </c>
      <c r="E258" s="203" t="s">
        <v>209</v>
      </c>
      <c r="F258" s="466">
        <v>16</v>
      </c>
      <c r="G258" s="466"/>
      <c r="H258" s="441"/>
    </row>
    <row r="259" spans="2:8" s="124" customFormat="1" ht="25.5">
      <c r="B259" s="129" t="s">
        <v>5156</v>
      </c>
      <c r="C259" s="413"/>
      <c r="D259" s="465" t="s">
        <v>4966</v>
      </c>
      <c r="E259" s="203" t="s">
        <v>209</v>
      </c>
      <c r="F259" s="466">
        <v>75</v>
      </c>
      <c r="G259" s="466"/>
      <c r="H259" s="441"/>
    </row>
    <row r="260" spans="2:8" s="124" customFormat="1" ht="25.5">
      <c r="B260" s="129" t="s">
        <v>5157</v>
      </c>
      <c r="C260" s="413"/>
      <c r="D260" s="465" t="s">
        <v>4968</v>
      </c>
      <c r="E260" s="203" t="s">
        <v>209</v>
      </c>
      <c r="F260" s="466">
        <v>33</v>
      </c>
      <c r="G260" s="466"/>
      <c r="H260" s="441"/>
    </row>
    <row r="261" spans="2:8" s="124" customFormat="1" ht="25.5">
      <c r="B261" s="129" t="s">
        <v>5158</v>
      </c>
      <c r="C261" s="413"/>
      <c r="D261" s="465" t="s">
        <v>4970</v>
      </c>
      <c r="E261" s="203" t="s">
        <v>209</v>
      </c>
      <c r="F261" s="466">
        <v>76</v>
      </c>
      <c r="G261" s="466"/>
      <c r="H261" s="441"/>
    </row>
    <row r="262" spans="2:8" s="124" customFormat="1" ht="25.5">
      <c r="B262" s="129" t="s">
        <v>5159</v>
      </c>
      <c r="C262" s="413"/>
      <c r="D262" s="465" t="s">
        <v>4923</v>
      </c>
      <c r="E262" s="203" t="s">
        <v>209</v>
      </c>
      <c r="F262" s="466">
        <v>50</v>
      </c>
      <c r="G262" s="466"/>
      <c r="H262" s="441"/>
    </row>
    <row r="263" spans="2:8" s="124" customFormat="1" ht="25.5">
      <c r="B263" s="129" t="s">
        <v>5160</v>
      </c>
      <c r="C263" s="413"/>
      <c r="D263" s="465" t="s">
        <v>4925</v>
      </c>
      <c r="E263" s="203" t="s">
        <v>209</v>
      </c>
      <c r="F263" s="466">
        <v>215</v>
      </c>
      <c r="G263" s="466"/>
      <c r="H263" s="441"/>
    </row>
    <row r="264" spans="2:8" s="124" customFormat="1" ht="25.5">
      <c r="B264" s="129" t="s">
        <v>5161</v>
      </c>
      <c r="C264" s="413"/>
      <c r="D264" s="465" t="s">
        <v>4927</v>
      </c>
      <c r="E264" s="203" t="s">
        <v>99</v>
      </c>
      <c r="F264" s="466">
        <v>21</v>
      </c>
      <c r="G264" s="442"/>
      <c r="H264" s="443"/>
    </row>
    <row r="265" spans="2:8" s="124" customFormat="1">
      <c r="B265" s="129" t="s">
        <v>5162</v>
      </c>
      <c r="C265" s="413"/>
      <c r="D265" s="465" t="s">
        <v>4929</v>
      </c>
      <c r="E265" s="203" t="s">
        <v>309</v>
      </c>
      <c r="F265" s="466">
        <v>1</v>
      </c>
      <c r="G265" s="442"/>
      <c r="H265" s="443"/>
    </row>
    <row r="266" spans="2:8" s="124" customFormat="1" ht="25.5">
      <c r="B266" s="129" t="s">
        <v>5163</v>
      </c>
      <c r="C266" s="413"/>
      <c r="D266" s="465" t="s">
        <v>4931</v>
      </c>
      <c r="E266" s="203" t="s">
        <v>99</v>
      </c>
      <c r="F266" s="466">
        <v>18</v>
      </c>
      <c r="G266" s="442"/>
      <c r="H266" s="443"/>
    </row>
    <row r="267" spans="2:8" s="124" customFormat="1">
      <c r="B267" s="129" t="s">
        <v>5164</v>
      </c>
      <c r="C267" s="413"/>
      <c r="D267" s="465" t="s">
        <v>4933</v>
      </c>
      <c r="E267" s="203" t="s">
        <v>309</v>
      </c>
      <c r="F267" s="466">
        <v>1</v>
      </c>
      <c r="G267" s="442"/>
      <c r="H267" s="443"/>
    </row>
    <row r="268" spans="2:8" s="124" customFormat="1">
      <c r="B268" s="129" t="s">
        <v>5165</v>
      </c>
      <c r="C268" s="411"/>
      <c r="D268" s="412" t="s">
        <v>4935</v>
      </c>
      <c r="E268" s="459" t="s">
        <v>2258</v>
      </c>
      <c r="F268" s="428">
        <v>228</v>
      </c>
      <c r="G268" s="428"/>
      <c r="H268" s="444"/>
    </row>
    <row r="269" spans="2:8" s="124" customFormat="1">
      <c r="B269" s="129" t="s">
        <v>5166</v>
      </c>
      <c r="C269" s="411"/>
      <c r="D269" s="412" t="s">
        <v>4937</v>
      </c>
      <c r="E269" s="459" t="s">
        <v>2258</v>
      </c>
      <c r="F269" s="428">
        <v>30</v>
      </c>
      <c r="G269" s="428"/>
      <c r="H269" s="444"/>
    </row>
    <row r="270" spans="2:8" s="124" customFormat="1">
      <c r="B270" s="129" t="s">
        <v>5167</v>
      </c>
      <c r="C270" s="411"/>
      <c r="D270" s="412" t="s">
        <v>4939</v>
      </c>
      <c r="E270" s="459" t="s">
        <v>2258</v>
      </c>
      <c r="F270" s="428">
        <v>90</v>
      </c>
      <c r="G270" s="428"/>
      <c r="H270" s="444"/>
    </row>
    <row r="271" spans="2:8" s="124" customFormat="1">
      <c r="B271" s="129" t="s">
        <v>5168</v>
      </c>
      <c r="C271" s="411"/>
      <c r="D271" s="412" t="s">
        <v>4941</v>
      </c>
      <c r="E271" s="459" t="s">
        <v>2258</v>
      </c>
      <c r="F271" s="428">
        <v>18</v>
      </c>
      <c r="G271" s="428"/>
      <c r="H271" s="444"/>
    </row>
    <row r="272" spans="2:8" s="124" customFormat="1">
      <c r="B272" s="129" t="s">
        <v>5169</v>
      </c>
      <c r="C272" s="411"/>
      <c r="D272" s="412" t="s">
        <v>4943</v>
      </c>
      <c r="E272" s="459" t="s">
        <v>2258</v>
      </c>
      <c r="F272" s="428">
        <v>30</v>
      </c>
      <c r="G272" s="428"/>
      <c r="H272" s="444"/>
    </row>
    <row r="273" spans="2:8" s="124" customFormat="1">
      <c r="B273" s="129" t="s">
        <v>5170</v>
      </c>
      <c r="C273" s="411"/>
      <c r="D273" s="412" t="s">
        <v>4954</v>
      </c>
      <c r="E273" s="459" t="s">
        <v>99</v>
      </c>
      <c r="F273" s="428">
        <v>7</v>
      </c>
      <c r="G273" s="428"/>
      <c r="H273" s="444"/>
    </row>
    <row r="274" spans="2:8" s="124" customFormat="1" ht="25.5">
      <c r="B274" s="129" t="s">
        <v>5171</v>
      </c>
      <c r="C274" s="411"/>
      <c r="D274" s="412" t="s">
        <v>4945</v>
      </c>
      <c r="E274" s="459" t="s">
        <v>99</v>
      </c>
      <c r="F274" s="428">
        <v>25</v>
      </c>
      <c r="G274" s="428"/>
      <c r="H274" s="444"/>
    </row>
    <row r="275" spans="2:8" s="124" customFormat="1">
      <c r="B275" s="129" t="s">
        <v>5172</v>
      </c>
      <c r="C275" s="411"/>
      <c r="D275" s="412" t="s">
        <v>4947</v>
      </c>
      <c r="E275" s="459" t="s">
        <v>99</v>
      </c>
      <c r="F275" s="428">
        <v>19</v>
      </c>
      <c r="G275" s="428"/>
      <c r="H275" s="444"/>
    </row>
    <row r="276" spans="2:8" s="124" customFormat="1">
      <c r="B276" s="129" t="s">
        <v>5173</v>
      </c>
      <c r="C276" s="411"/>
      <c r="D276" s="412" t="s">
        <v>5174</v>
      </c>
      <c r="E276" s="459" t="s">
        <v>99</v>
      </c>
      <c r="F276" s="428">
        <v>10</v>
      </c>
      <c r="G276" s="428"/>
      <c r="H276" s="444"/>
    </row>
    <row r="277" spans="2:8" s="124" customFormat="1">
      <c r="B277" s="129" t="s">
        <v>5175</v>
      </c>
      <c r="C277" s="411"/>
      <c r="D277" s="412" t="s">
        <v>4949</v>
      </c>
      <c r="E277" s="459" t="s">
        <v>99</v>
      </c>
      <c r="F277" s="428">
        <v>4</v>
      </c>
      <c r="G277" s="428"/>
      <c r="H277" s="444"/>
    </row>
    <row r="278" spans="2:8" s="124" customFormat="1">
      <c r="B278" s="129" t="s">
        <v>5176</v>
      </c>
      <c r="C278" s="411"/>
      <c r="D278" s="412" t="s">
        <v>4987</v>
      </c>
      <c r="E278" s="459" t="s">
        <v>99</v>
      </c>
      <c r="F278" s="428">
        <v>5</v>
      </c>
      <c r="G278" s="428"/>
      <c r="H278" s="444"/>
    </row>
    <row r="279" spans="2:8" s="124" customFormat="1">
      <c r="B279" s="136"/>
      <c r="C279" s="133" t="s">
        <v>4842</v>
      </c>
      <c r="D279" s="414" t="s">
        <v>4950</v>
      </c>
      <c r="E279" s="203"/>
      <c r="F279" s="466"/>
      <c r="G279" s="466"/>
      <c r="H279" s="441"/>
    </row>
    <row r="280" spans="2:8" s="124" customFormat="1">
      <c r="B280" s="129" t="s">
        <v>5177</v>
      </c>
      <c r="C280" s="411"/>
      <c r="D280" s="412" t="s">
        <v>4954</v>
      </c>
      <c r="E280" s="458" t="s">
        <v>99</v>
      </c>
      <c r="F280" s="428">
        <v>13</v>
      </c>
      <c r="G280" s="428"/>
      <c r="H280" s="444"/>
    </row>
    <row r="281" spans="2:8" s="124" customFormat="1">
      <c r="B281" s="129" t="s">
        <v>5178</v>
      </c>
      <c r="C281" s="411"/>
      <c r="D281" s="412" t="s">
        <v>4990</v>
      </c>
      <c r="E281" s="458" t="s">
        <v>99</v>
      </c>
      <c r="F281" s="428">
        <v>2</v>
      </c>
      <c r="G281" s="428"/>
      <c r="H281" s="444"/>
    </row>
    <row r="282" spans="2:8" s="124" customFormat="1">
      <c r="B282" s="129" t="s">
        <v>5179</v>
      </c>
      <c r="C282" s="411"/>
      <c r="D282" s="412" t="s">
        <v>4994</v>
      </c>
      <c r="E282" s="458" t="s">
        <v>99</v>
      </c>
      <c r="F282" s="429">
        <v>4</v>
      </c>
      <c r="G282" s="428"/>
      <c r="H282" s="444"/>
    </row>
    <row r="283" spans="2:8" s="124" customFormat="1">
      <c r="B283" s="129" t="s">
        <v>5180</v>
      </c>
      <c r="C283" s="411"/>
      <c r="D283" s="412" t="s">
        <v>4947</v>
      </c>
      <c r="E283" s="458" t="s">
        <v>99</v>
      </c>
      <c r="F283" s="429">
        <v>1</v>
      </c>
      <c r="G283" s="428"/>
      <c r="H283" s="444"/>
    </row>
    <row r="284" spans="2:8" s="124" customFormat="1">
      <c r="B284" s="129" t="s">
        <v>5181</v>
      </c>
      <c r="C284" s="411"/>
      <c r="D284" s="412" t="s">
        <v>4952</v>
      </c>
      <c r="E284" s="458" t="s">
        <v>2258</v>
      </c>
      <c r="F284" s="429">
        <v>271</v>
      </c>
      <c r="G284" s="428"/>
      <c r="H284" s="444"/>
    </row>
    <row r="285" spans="2:8" s="124" customFormat="1">
      <c r="B285" s="129" t="s">
        <v>5182</v>
      </c>
      <c r="C285" s="411"/>
      <c r="D285" s="412" t="s">
        <v>4937</v>
      </c>
      <c r="E285" s="458" t="s">
        <v>2258</v>
      </c>
      <c r="F285" s="428">
        <v>12</v>
      </c>
      <c r="G285" s="428"/>
      <c r="H285" s="444"/>
    </row>
    <row r="286" spans="2:8" s="124" customFormat="1">
      <c r="B286" s="129" t="s">
        <v>5183</v>
      </c>
      <c r="C286" s="411"/>
      <c r="D286" s="412" t="s">
        <v>4939</v>
      </c>
      <c r="E286" s="458" t="s">
        <v>2258</v>
      </c>
      <c r="F286" s="429">
        <v>12</v>
      </c>
      <c r="G286" s="428"/>
      <c r="H286" s="444"/>
    </row>
    <row r="287" spans="2:8" s="124" customFormat="1">
      <c r="B287" s="129" t="s">
        <v>5184</v>
      </c>
      <c r="C287" s="411"/>
      <c r="D287" s="412" t="s">
        <v>4941</v>
      </c>
      <c r="E287" s="458" t="s">
        <v>2258</v>
      </c>
      <c r="F287" s="429">
        <v>12</v>
      </c>
      <c r="G287" s="428"/>
      <c r="H287" s="444"/>
    </row>
    <row r="288" spans="2:8" s="124" customFormat="1">
      <c r="B288" s="129" t="s">
        <v>5185</v>
      </c>
      <c r="C288" s="539"/>
      <c r="D288" s="540" t="s">
        <v>4943</v>
      </c>
      <c r="E288" s="544" t="s">
        <v>2258</v>
      </c>
      <c r="F288" s="545">
        <v>40</v>
      </c>
      <c r="G288" s="542"/>
      <c r="H288" s="543"/>
    </row>
    <row r="289" spans="2:8" s="124" customFormat="1" ht="13.5" thickBot="1">
      <c r="B289" s="129" t="s">
        <v>5186</v>
      </c>
      <c r="C289" s="539"/>
      <c r="D289" s="540" t="s">
        <v>4933</v>
      </c>
      <c r="E289" s="544" t="s">
        <v>309</v>
      </c>
      <c r="F289" s="545">
        <v>1</v>
      </c>
      <c r="G289" s="542"/>
      <c r="H289" s="543"/>
    </row>
    <row r="290" spans="2:8" s="181" customFormat="1" ht="13.5" thickBot="1">
      <c r="B290" s="151" t="s">
        <v>5187</v>
      </c>
      <c r="C290" s="423"/>
      <c r="D290" s="423"/>
      <c r="E290" s="456"/>
      <c r="F290" s="424"/>
      <c r="G290" s="424"/>
      <c r="H290" s="437"/>
    </row>
    <row r="291" spans="2:8" s="124" customFormat="1">
      <c r="B291" s="408"/>
      <c r="C291" s="133" t="s">
        <v>4842</v>
      </c>
      <c r="D291" s="420" t="s">
        <v>4921</v>
      </c>
      <c r="E291" s="464"/>
      <c r="F291" s="433"/>
      <c r="G291" s="433"/>
      <c r="H291" s="454"/>
    </row>
    <row r="292" spans="2:8" s="124" customFormat="1" ht="25.5">
      <c r="B292" s="129" t="s">
        <v>5188</v>
      </c>
      <c r="C292" s="413"/>
      <c r="D292" s="465" t="s">
        <v>4964</v>
      </c>
      <c r="E292" s="203" t="s">
        <v>209</v>
      </c>
      <c r="F292" s="466">
        <v>15</v>
      </c>
      <c r="G292" s="466"/>
      <c r="H292" s="441"/>
    </row>
    <row r="293" spans="2:8" s="124" customFormat="1" ht="25.5">
      <c r="B293" s="129" t="s">
        <v>5189</v>
      </c>
      <c r="C293" s="413"/>
      <c r="D293" s="465" t="s">
        <v>4966</v>
      </c>
      <c r="E293" s="203" t="s">
        <v>209</v>
      </c>
      <c r="F293" s="466">
        <v>78</v>
      </c>
      <c r="G293" s="466"/>
      <c r="H293" s="441"/>
    </row>
    <row r="294" spans="2:8" s="124" customFormat="1" ht="25.5">
      <c r="B294" s="129" t="s">
        <v>5190</v>
      </c>
      <c r="C294" s="413"/>
      <c r="D294" s="465" t="s">
        <v>4968</v>
      </c>
      <c r="E294" s="203" t="s">
        <v>209</v>
      </c>
      <c r="F294" s="466">
        <v>26</v>
      </c>
      <c r="G294" s="466"/>
      <c r="H294" s="441"/>
    </row>
    <row r="295" spans="2:8" s="124" customFormat="1" ht="25.5">
      <c r="B295" s="129" t="s">
        <v>5191</v>
      </c>
      <c r="C295" s="413"/>
      <c r="D295" s="465" t="s">
        <v>4970</v>
      </c>
      <c r="E295" s="203" t="s">
        <v>209</v>
      </c>
      <c r="F295" s="466">
        <v>17</v>
      </c>
      <c r="G295" s="466"/>
      <c r="H295" s="441"/>
    </row>
    <row r="296" spans="2:8" s="124" customFormat="1" ht="25.5">
      <c r="B296" s="129" t="s">
        <v>5192</v>
      </c>
      <c r="C296" s="413"/>
      <c r="D296" s="465" t="s">
        <v>4923</v>
      </c>
      <c r="E296" s="203" t="s">
        <v>209</v>
      </c>
      <c r="F296" s="466">
        <v>29</v>
      </c>
      <c r="G296" s="466"/>
      <c r="H296" s="441"/>
    </row>
    <row r="297" spans="2:8" s="124" customFormat="1" ht="25.5">
      <c r="B297" s="129" t="s">
        <v>5193</v>
      </c>
      <c r="C297" s="413"/>
      <c r="D297" s="465" t="s">
        <v>4925</v>
      </c>
      <c r="E297" s="203" t="s">
        <v>209</v>
      </c>
      <c r="F297" s="466">
        <v>136</v>
      </c>
      <c r="G297" s="466"/>
      <c r="H297" s="441"/>
    </row>
    <row r="298" spans="2:8" s="124" customFormat="1" ht="25.5">
      <c r="B298" s="129" t="s">
        <v>5194</v>
      </c>
      <c r="C298" s="413"/>
      <c r="D298" s="465" t="s">
        <v>4927</v>
      </c>
      <c r="E298" s="203" t="s">
        <v>99</v>
      </c>
      <c r="F298" s="466">
        <v>19</v>
      </c>
      <c r="G298" s="442"/>
      <c r="H298" s="443"/>
    </row>
    <row r="299" spans="2:8" s="124" customFormat="1">
      <c r="B299" s="129" t="s">
        <v>5195</v>
      </c>
      <c r="C299" s="413"/>
      <c r="D299" s="465" t="s">
        <v>4929</v>
      </c>
      <c r="E299" s="203" t="s">
        <v>309</v>
      </c>
      <c r="F299" s="466">
        <v>1</v>
      </c>
      <c r="G299" s="442"/>
      <c r="H299" s="443"/>
    </row>
    <row r="300" spans="2:8" s="124" customFormat="1" ht="25.5">
      <c r="B300" s="129" t="s">
        <v>5196</v>
      </c>
      <c r="C300" s="413"/>
      <c r="D300" s="465" t="s">
        <v>4931</v>
      </c>
      <c r="E300" s="203" t="s">
        <v>99</v>
      </c>
      <c r="F300" s="466">
        <v>17</v>
      </c>
      <c r="G300" s="442"/>
      <c r="H300" s="443"/>
    </row>
    <row r="301" spans="2:8" s="124" customFormat="1">
      <c r="B301" s="129" t="s">
        <v>5197</v>
      </c>
      <c r="C301" s="413"/>
      <c r="D301" s="465" t="s">
        <v>4933</v>
      </c>
      <c r="E301" s="203" t="s">
        <v>309</v>
      </c>
      <c r="F301" s="466">
        <v>1</v>
      </c>
      <c r="G301" s="442"/>
      <c r="H301" s="443"/>
    </row>
    <row r="302" spans="2:8" s="124" customFormat="1">
      <c r="B302" s="129" t="s">
        <v>5198</v>
      </c>
      <c r="C302" s="411"/>
      <c r="D302" s="412" t="s">
        <v>4935</v>
      </c>
      <c r="E302" s="459" t="s">
        <v>2258</v>
      </c>
      <c r="F302" s="428">
        <v>150</v>
      </c>
      <c r="G302" s="428"/>
      <c r="H302" s="444"/>
    </row>
    <row r="303" spans="2:8" s="124" customFormat="1">
      <c r="B303" s="129" t="s">
        <v>5199</v>
      </c>
      <c r="C303" s="411"/>
      <c r="D303" s="412" t="s">
        <v>4937</v>
      </c>
      <c r="E303" s="459" t="s">
        <v>2258</v>
      </c>
      <c r="F303" s="428">
        <v>12</v>
      </c>
      <c r="G303" s="428"/>
      <c r="H303" s="444"/>
    </row>
    <row r="304" spans="2:8" s="124" customFormat="1">
      <c r="B304" s="129" t="s">
        <v>5200</v>
      </c>
      <c r="C304" s="411"/>
      <c r="D304" s="412" t="s">
        <v>4939</v>
      </c>
      <c r="E304" s="459" t="s">
        <v>2258</v>
      </c>
      <c r="F304" s="428">
        <v>85</v>
      </c>
      <c r="G304" s="428"/>
      <c r="H304" s="444"/>
    </row>
    <row r="305" spans="2:8" s="124" customFormat="1">
      <c r="B305" s="129" t="s">
        <v>5201</v>
      </c>
      <c r="C305" s="411"/>
      <c r="D305" s="412" t="s">
        <v>4941</v>
      </c>
      <c r="E305" s="459" t="s">
        <v>2258</v>
      </c>
      <c r="F305" s="428">
        <v>18</v>
      </c>
      <c r="G305" s="428"/>
      <c r="H305" s="444"/>
    </row>
    <row r="306" spans="2:8" s="124" customFormat="1">
      <c r="B306" s="129" t="s">
        <v>5202</v>
      </c>
      <c r="C306" s="411"/>
      <c r="D306" s="412" t="s">
        <v>4943</v>
      </c>
      <c r="E306" s="459" t="s">
        <v>2258</v>
      </c>
      <c r="F306" s="428">
        <v>30</v>
      </c>
      <c r="G306" s="428"/>
      <c r="H306" s="444"/>
    </row>
    <row r="307" spans="2:8" s="124" customFormat="1">
      <c r="B307" s="129" t="s">
        <v>5203</v>
      </c>
      <c r="C307" s="411"/>
      <c r="D307" s="412" t="s">
        <v>4954</v>
      </c>
      <c r="E307" s="459" t="s">
        <v>99</v>
      </c>
      <c r="F307" s="428">
        <v>7</v>
      </c>
      <c r="G307" s="428"/>
      <c r="H307" s="444"/>
    </row>
    <row r="308" spans="2:8" s="124" customFormat="1" ht="25.5">
      <c r="B308" s="129" t="s">
        <v>5204</v>
      </c>
      <c r="C308" s="411"/>
      <c r="D308" s="412" t="s">
        <v>4945</v>
      </c>
      <c r="E308" s="459" t="s">
        <v>99</v>
      </c>
      <c r="F308" s="428">
        <v>27</v>
      </c>
      <c r="G308" s="428"/>
      <c r="H308" s="444"/>
    </row>
    <row r="309" spans="2:8" s="124" customFormat="1">
      <c r="B309" s="129" t="s">
        <v>5205</v>
      </c>
      <c r="C309" s="411"/>
      <c r="D309" s="412" t="s">
        <v>4947</v>
      </c>
      <c r="E309" s="459" t="s">
        <v>99</v>
      </c>
      <c r="F309" s="428">
        <v>21</v>
      </c>
      <c r="G309" s="428"/>
      <c r="H309" s="444"/>
    </row>
    <row r="310" spans="2:8" s="124" customFormat="1">
      <c r="B310" s="129" t="s">
        <v>5206</v>
      </c>
      <c r="C310" s="411"/>
      <c r="D310" s="412" t="s">
        <v>4949</v>
      </c>
      <c r="E310" s="459" t="s">
        <v>99</v>
      </c>
      <c r="F310" s="428">
        <v>3</v>
      </c>
      <c r="G310" s="428"/>
      <c r="H310" s="444"/>
    </row>
    <row r="311" spans="2:8" s="124" customFormat="1">
      <c r="B311" s="129" t="s">
        <v>5207</v>
      </c>
      <c r="C311" s="411"/>
      <c r="D311" s="412" t="s">
        <v>4987</v>
      </c>
      <c r="E311" s="459" t="s">
        <v>99</v>
      </c>
      <c r="F311" s="428">
        <v>2</v>
      </c>
      <c r="G311" s="428"/>
      <c r="H311" s="444"/>
    </row>
    <row r="312" spans="2:8" s="124" customFormat="1">
      <c r="B312" s="136"/>
      <c r="C312" s="133" t="s">
        <v>4842</v>
      </c>
      <c r="D312" s="414" t="s">
        <v>4950</v>
      </c>
      <c r="E312" s="203"/>
      <c r="F312" s="466"/>
      <c r="G312" s="466"/>
      <c r="H312" s="441"/>
    </row>
    <row r="313" spans="2:8" s="124" customFormat="1">
      <c r="B313" s="129" t="s">
        <v>5208</v>
      </c>
      <c r="C313" s="411"/>
      <c r="D313" s="412" t="s">
        <v>4954</v>
      </c>
      <c r="E313" s="458" t="s">
        <v>99</v>
      </c>
      <c r="F313" s="428">
        <v>16</v>
      </c>
      <c r="G313" s="428"/>
      <c r="H313" s="444"/>
    </row>
    <row r="314" spans="2:8" s="124" customFormat="1">
      <c r="B314" s="129" t="s">
        <v>5209</v>
      </c>
      <c r="C314" s="411"/>
      <c r="D314" s="412" t="s">
        <v>4990</v>
      </c>
      <c r="E314" s="458" t="s">
        <v>99</v>
      </c>
      <c r="F314" s="428">
        <v>2</v>
      </c>
      <c r="G314" s="428"/>
      <c r="H314" s="444"/>
    </row>
    <row r="315" spans="2:8" s="124" customFormat="1">
      <c r="B315" s="129" t="s">
        <v>5210</v>
      </c>
      <c r="C315" s="411"/>
      <c r="D315" s="412" t="s">
        <v>4994</v>
      </c>
      <c r="E315" s="458" t="s">
        <v>99</v>
      </c>
      <c r="F315" s="429">
        <v>4</v>
      </c>
      <c r="G315" s="428"/>
      <c r="H315" s="444"/>
    </row>
    <row r="316" spans="2:8" s="124" customFormat="1">
      <c r="B316" s="129" t="s">
        <v>5211</v>
      </c>
      <c r="C316" s="411"/>
      <c r="D316" s="412" t="s">
        <v>4947</v>
      </c>
      <c r="E316" s="458" t="s">
        <v>99</v>
      </c>
      <c r="F316" s="429">
        <v>1</v>
      </c>
      <c r="G316" s="428"/>
      <c r="H316" s="444"/>
    </row>
    <row r="317" spans="2:8" s="124" customFormat="1">
      <c r="B317" s="129" t="s">
        <v>5212</v>
      </c>
      <c r="C317" s="411"/>
      <c r="D317" s="412" t="s">
        <v>4952</v>
      </c>
      <c r="E317" s="458" t="s">
        <v>2258</v>
      </c>
      <c r="F317" s="429">
        <v>229</v>
      </c>
      <c r="G317" s="428"/>
      <c r="H317" s="444"/>
    </row>
    <row r="318" spans="2:8" s="124" customFormat="1">
      <c r="B318" s="129" t="s">
        <v>5213</v>
      </c>
      <c r="C318" s="411"/>
      <c r="D318" s="412" t="s">
        <v>4937</v>
      </c>
      <c r="E318" s="458" t="s">
        <v>2258</v>
      </c>
      <c r="F318" s="428">
        <v>12</v>
      </c>
      <c r="G318" s="428"/>
      <c r="H318" s="444"/>
    </row>
    <row r="319" spans="2:8" s="124" customFormat="1">
      <c r="B319" s="129" t="s">
        <v>5214</v>
      </c>
      <c r="C319" s="411"/>
      <c r="D319" s="412" t="s">
        <v>4939</v>
      </c>
      <c r="E319" s="458" t="s">
        <v>2258</v>
      </c>
      <c r="F319" s="429">
        <v>12</v>
      </c>
      <c r="G319" s="428"/>
      <c r="H319" s="444"/>
    </row>
    <row r="320" spans="2:8" s="124" customFormat="1">
      <c r="B320" s="129" t="s">
        <v>5215</v>
      </c>
      <c r="C320" s="411"/>
      <c r="D320" s="412" t="s">
        <v>4941</v>
      </c>
      <c r="E320" s="458" t="s">
        <v>2258</v>
      </c>
      <c r="F320" s="429">
        <v>12</v>
      </c>
      <c r="G320" s="428"/>
      <c r="H320" s="444"/>
    </row>
    <row r="321" spans="2:8" s="124" customFormat="1">
      <c r="B321" s="129" t="s">
        <v>5216</v>
      </c>
      <c r="C321" s="539"/>
      <c r="D321" s="540" t="s">
        <v>4943</v>
      </c>
      <c r="E321" s="544" t="s">
        <v>2258</v>
      </c>
      <c r="F321" s="545">
        <v>40</v>
      </c>
      <c r="G321" s="542"/>
      <c r="H321" s="543"/>
    </row>
    <row r="322" spans="2:8" s="124" customFormat="1" ht="13.5" thickBot="1">
      <c r="B322" s="129" t="s">
        <v>5217</v>
      </c>
      <c r="C322" s="419"/>
      <c r="D322" s="373" t="s">
        <v>4933</v>
      </c>
      <c r="E322" s="462" t="s">
        <v>309</v>
      </c>
      <c r="F322" s="430">
        <v>1</v>
      </c>
      <c r="G322" s="452"/>
      <c r="H322" s="453"/>
    </row>
    <row r="323" spans="2:8" s="181" customFormat="1" ht="13.5" thickBot="1">
      <c r="B323" s="151" t="s">
        <v>5218</v>
      </c>
      <c r="C323" s="423"/>
      <c r="D323" s="423"/>
      <c r="E323" s="456"/>
      <c r="F323" s="424"/>
      <c r="G323" s="424"/>
      <c r="H323" s="437"/>
    </row>
    <row r="324" spans="2:8" s="124" customFormat="1">
      <c r="B324" s="132"/>
      <c r="C324" s="133" t="s">
        <v>4842</v>
      </c>
      <c r="D324" s="134" t="s">
        <v>4921</v>
      </c>
      <c r="E324" s="463"/>
      <c r="F324" s="434"/>
      <c r="G324" s="434"/>
      <c r="H324" s="455"/>
    </row>
    <row r="325" spans="2:8" s="124" customFormat="1" ht="25.5">
      <c r="B325" s="129" t="s">
        <v>5219</v>
      </c>
      <c r="C325" s="142"/>
      <c r="D325" s="465" t="s">
        <v>4968</v>
      </c>
      <c r="E325" s="203" t="s">
        <v>209</v>
      </c>
      <c r="F325" s="466">
        <v>16</v>
      </c>
      <c r="G325" s="466"/>
      <c r="H325" s="441"/>
    </row>
    <row r="326" spans="2:8" s="124" customFormat="1" ht="25.5">
      <c r="B326" s="129" t="s">
        <v>5220</v>
      </c>
      <c r="C326" s="142"/>
      <c r="D326" s="465" t="s">
        <v>4970</v>
      </c>
      <c r="E326" s="203" t="s">
        <v>209</v>
      </c>
      <c r="F326" s="466">
        <v>36</v>
      </c>
      <c r="G326" s="466"/>
      <c r="H326" s="441"/>
    </row>
    <row r="327" spans="2:8" s="124" customFormat="1" ht="25.5">
      <c r="B327" s="129" t="s">
        <v>5221</v>
      </c>
      <c r="C327" s="142"/>
      <c r="D327" s="465" t="s">
        <v>4923</v>
      </c>
      <c r="E327" s="203" t="s">
        <v>209</v>
      </c>
      <c r="F327" s="466">
        <v>83</v>
      </c>
      <c r="G327" s="466"/>
      <c r="H327" s="441"/>
    </row>
    <row r="328" spans="2:8" s="124" customFormat="1" ht="25.5">
      <c r="B328" s="129" t="s">
        <v>5222</v>
      </c>
      <c r="C328" s="142"/>
      <c r="D328" s="465" t="s">
        <v>4925</v>
      </c>
      <c r="E328" s="203" t="s">
        <v>209</v>
      </c>
      <c r="F328" s="466">
        <v>54</v>
      </c>
      <c r="G328" s="466"/>
      <c r="H328" s="441"/>
    </row>
    <row r="329" spans="2:8" s="124" customFormat="1" ht="25.5">
      <c r="B329" s="129" t="s">
        <v>5223</v>
      </c>
      <c r="C329" s="142"/>
      <c r="D329" s="465" t="s">
        <v>4927</v>
      </c>
      <c r="E329" s="203" t="s">
        <v>99</v>
      </c>
      <c r="F329" s="466">
        <v>8</v>
      </c>
      <c r="G329" s="442"/>
      <c r="H329" s="443"/>
    </row>
    <row r="330" spans="2:8" s="124" customFormat="1">
      <c r="B330" s="129" t="s">
        <v>5224</v>
      </c>
      <c r="C330" s="142"/>
      <c r="D330" s="465" t="s">
        <v>4929</v>
      </c>
      <c r="E330" s="203" t="s">
        <v>309</v>
      </c>
      <c r="F330" s="466">
        <v>1</v>
      </c>
      <c r="G330" s="442"/>
      <c r="H330" s="443"/>
    </row>
    <row r="331" spans="2:8" s="124" customFormat="1" ht="25.5">
      <c r="B331" s="129" t="s">
        <v>5225</v>
      </c>
      <c r="C331" s="142"/>
      <c r="D331" s="465" t="s">
        <v>4931</v>
      </c>
      <c r="E331" s="203" t="s">
        <v>99</v>
      </c>
      <c r="F331" s="466">
        <v>7</v>
      </c>
      <c r="G331" s="442"/>
      <c r="H331" s="443"/>
    </row>
    <row r="332" spans="2:8" s="124" customFormat="1">
      <c r="B332" s="129" t="s">
        <v>5226</v>
      </c>
      <c r="C332" s="142"/>
      <c r="D332" s="465" t="s">
        <v>4933</v>
      </c>
      <c r="E332" s="203" t="s">
        <v>309</v>
      </c>
      <c r="F332" s="466">
        <v>1</v>
      </c>
      <c r="G332" s="442"/>
      <c r="H332" s="443"/>
    </row>
    <row r="333" spans="2:8" s="124" customFormat="1">
      <c r="B333" s="129" t="s">
        <v>5227</v>
      </c>
      <c r="C333" s="411"/>
      <c r="D333" s="412" t="s">
        <v>4935</v>
      </c>
      <c r="E333" s="459" t="s">
        <v>2258</v>
      </c>
      <c r="F333" s="428">
        <v>120</v>
      </c>
      <c r="G333" s="428"/>
      <c r="H333" s="444"/>
    </row>
    <row r="334" spans="2:8" s="124" customFormat="1">
      <c r="B334" s="129" t="s">
        <v>5228</v>
      </c>
      <c r="C334" s="411"/>
      <c r="D334" s="412" t="s">
        <v>4937</v>
      </c>
      <c r="E334" s="459" t="s">
        <v>2258</v>
      </c>
      <c r="F334" s="428">
        <v>30</v>
      </c>
      <c r="G334" s="428"/>
      <c r="H334" s="444"/>
    </row>
    <row r="335" spans="2:8" s="124" customFormat="1">
      <c r="B335" s="129" t="s">
        <v>5229</v>
      </c>
      <c r="C335" s="411"/>
      <c r="D335" s="412" t="s">
        <v>4939</v>
      </c>
      <c r="E335" s="459" t="s">
        <v>2258</v>
      </c>
      <c r="F335" s="428">
        <v>30</v>
      </c>
      <c r="G335" s="428"/>
      <c r="H335" s="444"/>
    </row>
    <row r="336" spans="2:8" s="124" customFormat="1">
      <c r="B336" s="129" t="s">
        <v>5230</v>
      </c>
      <c r="C336" s="411"/>
      <c r="D336" s="412" t="s">
        <v>4941</v>
      </c>
      <c r="E336" s="459" t="s">
        <v>2258</v>
      </c>
      <c r="F336" s="428">
        <v>30</v>
      </c>
      <c r="G336" s="428"/>
      <c r="H336" s="444"/>
    </row>
    <row r="337" spans="2:8" s="124" customFormat="1">
      <c r="B337" s="129" t="s">
        <v>5231</v>
      </c>
      <c r="C337" s="411"/>
      <c r="D337" s="412" t="s">
        <v>4943</v>
      </c>
      <c r="E337" s="459" t="s">
        <v>2258</v>
      </c>
      <c r="F337" s="428">
        <v>30</v>
      </c>
      <c r="G337" s="428"/>
      <c r="H337" s="444"/>
    </row>
    <row r="338" spans="2:8" s="124" customFormat="1">
      <c r="B338" s="129" t="s">
        <v>5232</v>
      </c>
      <c r="C338" s="411"/>
      <c r="D338" s="412" t="s">
        <v>4954</v>
      </c>
      <c r="E338" s="459" t="s">
        <v>99</v>
      </c>
      <c r="F338" s="428">
        <v>2</v>
      </c>
      <c r="G338" s="428"/>
      <c r="H338" s="444"/>
    </row>
    <row r="339" spans="2:8" s="124" customFormat="1" ht="25.5">
      <c r="B339" s="129" t="s">
        <v>5233</v>
      </c>
      <c r="C339" s="411"/>
      <c r="D339" s="412" t="s">
        <v>4945</v>
      </c>
      <c r="E339" s="459" t="s">
        <v>99</v>
      </c>
      <c r="F339" s="428">
        <v>7</v>
      </c>
      <c r="G339" s="428"/>
      <c r="H339" s="444"/>
    </row>
    <row r="340" spans="2:8" s="124" customFormat="1">
      <c r="B340" s="129" t="s">
        <v>5234</v>
      </c>
      <c r="C340" s="411"/>
      <c r="D340" s="412" t="s">
        <v>4947</v>
      </c>
      <c r="E340" s="459" t="s">
        <v>99</v>
      </c>
      <c r="F340" s="428">
        <v>9</v>
      </c>
      <c r="G340" s="428"/>
      <c r="H340" s="444"/>
    </row>
    <row r="341" spans="2:8" s="124" customFormat="1">
      <c r="B341" s="129" t="s">
        <v>5235</v>
      </c>
      <c r="C341" s="411"/>
      <c r="D341" s="412" t="s">
        <v>5174</v>
      </c>
      <c r="E341" s="459" t="s">
        <v>99</v>
      </c>
      <c r="F341" s="428">
        <v>12</v>
      </c>
      <c r="G341" s="428"/>
      <c r="H341" s="444"/>
    </row>
    <row r="342" spans="2:8" s="124" customFormat="1">
      <c r="B342" s="129" t="s">
        <v>5236</v>
      </c>
      <c r="C342" s="411"/>
      <c r="D342" s="412" t="s">
        <v>4949</v>
      </c>
      <c r="E342" s="459" t="s">
        <v>99</v>
      </c>
      <c r="F342" s="428">
        <v>3</v>
      </c>
      <c r="G342" s="428"/>
      <c r="H342" s="444"/>
    </row>
    <row r="343" spans="2:8" s="124" customFormat="1">
      <c r="B343" s="136"/>
      <c r="C343" s="133" t="s">
        <v>4842</v>
      </c>
      <c r="D343" s="414" t="s">
        <v>4950</v>
      </c>
      <c r="E343" s="203"/>
      <c r="F343" s="466"/>
      <c r="G343" s="466"/>
      <c r="H343" s="441"/>
    </row>
    <row r="344" spans="2:8" s="124" customFormat="1">
      <c r="B344" s="129" t="s">
        <v>5237</v>
      </c>
      <c r="C344" s="411"/>
      <c r="D344" s="412" t="s">
        <v>4954</v>
      </c>
      <c r="E344" s="458" t="s">
        <v>99</v>
      </c>
      <c r="F344" s="428">
        <v>3</v>
      </c>
      <c r="G344" s="428"/>
      <c r="H344" s="444"/>
    </row>
    <row r="345" spans="2:8" s="124" customFormat="1">
      <c r="B345" s="129" t="s">
        <v>5238</v>
      </c>
      <c r="C345" s="411"/>
      <c r="D345" s="412" t="s">
        <v>4990</v>
      </c>
      <c r="E345" s="458" t="s">
        <v>99</v>
      </c>
      <c r="F345" s="428">
        <v>3</v>
      </c>
      <c r="G345" s="428"/>
      <c r="H345" s="444"/>
    </row>
    <row r="346" spans="2:8" s="124" customFormat="1">
      <c r="B346" s="129" t="s">
        <v>5239</v>
      </c>
      <c r="C346" s="411"/>
      <c r="D346" s="412" t="s">
        <v>4994</v>
      </c>
      <c r="E346" s="458" t="s">
        <v>99</v>
      </c>
      <c r="F346" s="429">
        <v>2</v>
      </c>
      <c r="G346" s="428"/>
      <c r="H346" s="444"/>
    </row>
    <row r="347" spans="2:8" s="124" customFormat="1">
      <c r="B347" s="129" t="s">
        <v>5240</v>
      </c>
      <c r="C347" s="411"/>
      <c r="D347" s="412" t="s">
        <v>4952</v>
      </c>
      <c r="E347" s="458" t="s">
        <v>2258</v>
      </c>
      <c r="F347" s="429">
        <v>143</v>
      </c>
      <c r="G347" s="428"/>
      <c r="H347" s="444"/>
    </row>
    <row r="348" spans="2:8" s="124" customFormat="1">
      <c r="B348" s="129" t="s">
        <v>5241</v>
      </c>
      <c r="C348" s="411"/>
      <c r="D348" s="412" t="s">
        <v>4947</v>
      </c>
      <c r="E348" s="458" t="s">
        <v>99</v>
      </c>
      <c r="F348" s="428">
        <v>1</v>
      </c>
      <c r="G348" s="428"/>
      <c r="H348" s="444"/>
    </row>
    <row r="349" spans="2:8" s="124" customFormat="1">
      <c r="B349" s="129" t="s">
        <v>5242</v>
      </c>
      <c r="C349" s="411"/>
      <c r="D349" s="412" t="s">
        <v>4939</v>
      </c>
      <c r="E349" s="458" t="s">
        <v>2258</v>
      </c>
      <c r="F349" s="429">
        <v>12</v>
      </c>
      <c r="G349" s="428"/>
      <c r="H349" s="444"/>
    </row>
    <row r="350" spans="2:8" s="124" customFormat="1">
      <c r="B350" s="129" t="s">
        <v>5243</v>
      </c>
      <c r="C350" s="411"/>
      <c r="D350" s="412" t="s">
        <v>4941</v>
      </c>
      <c r="E350" s="458" t="s">
        <v>2258</v>
      </c>
      <c r="F350" s="429">
        <v>12</v>
      </c>
      <c r="G350" s="428"/>
      <c r="H350" s="444"/>
    </row>
    <row r="351" spans="2:8" s="124" customFormat="1">
      <c r="B351" s="129" t="s">
        <v>5244</v>
      </c>
      <c r="C351" s="546"/>
      <c r="D351" s="540" t="s">
        <v>4943</v>
      </c>
      <c r="E351" s="544" t="s">
        <v>2258</v>
      </c>
      <c r="F351" s="545">
        <v>12</v>
      </c>
      <c r="G351" s="542"/>
      <c r="H351" s="543"/>
    </row>
    <row r="352" spans="2:8" s="124" customFormat="1" ht="13.5" thickBot="1">
      <c r="B352" s="129" t="s">
        <v>5245</v>
      </c>
      <c r="C352" s="418"/>
      <c r="D352" s="335" t="s">
        <v>4933</v>
      </c>
      <c r="E352" s="461" t="s">
        <v>309</v>
      </c>
      <c r="F352" s="432">
        <v>1</v>
      </c>
      <c r="G352" s="450"/>
      <c r="H352" s="451"/>
    </row>
    <row r="353" spans="2:8" s="181" customFormat="1" ht="13.5" thickBot="1">
      <c r="B353" s="151" t="s">
        <v>5246</v>
      </c>
      <c r="C353" s="423"/>
      <c r="D353" s="423"/>
      <c r="E353" s="456"/>
      <c r="F353" s="424"/>
      <c r="G353" s="424"/>
      <c r="H353" s="437"/>
    </row>
    <row r="354" spans="2:8" s="124" customFormat="1">
      <c r="B354" s="421"/>
      <c r="C354" s="133" t="s">
        <v>4842</v>
      </c>
      <c r="D354" s="134" t="s">
        <v>4921</v>
      </c>
      <c r="E354" s="463"/>
      <c r="F354" s="434"/>
      <c r="G354" s="434"/>
      <c r="H354" s="455"/>
    </row>
    <row r="355" spans="2:8" s="124" customFormat="1" ht="25.5">
      <c r="B355" s="129" t="s">
        <v>5247</v>
      </c>
      <c r="C355" s="142"/>
      <c r="D355" s="465" t="s">
        <v>4964</v>
      </c>
      <c r="E355" s="203" t="s">
        <v>209</v>
      </c>
      <c r="F355" s="466">
        <v>38</v>
      </c>
      <c r="G355" s="466"/>
      <c r="H355" s="441"/>
    </row>
    <row r="356" spans="2:8" s="124" customFormat="1" ht="25.5">
      <c r="B356" s="129" t="s">
        <v>5248</v>
      </c>
      <c r="C356" s="142"/>
      <c r="D356" s="465" t="s">
        <v>4966</v>
      </c>
      <c r="E356" s="203" t="s">
        <v>209</v>
      </c>
      <c r="F356" s="466">
        <v>36</v>
      </c>
      <c r="G356" s="466"/>
      <c r="H356" s="441"/>
    </row>
    <row r="357" spans="2:8" s="124" customFormat="1" ht="25.5">
      <c r="B357" s="129" t="s">
        <v>5249</v>
      </c>
      <c r="C357" s="142"/>
      <c r="D357" s="465" t="s">
        <v>4968</v>
      </c>
      <c r="E357" s="203" t="s">
        <v>209</v>
      </c>
      <c r="F357" s="466">
        <v>60</v>
      </c>
      <c r="G357" s="466"/>
      <c r="H357" s="441"/>
    </row>
    <row r="358" spans="2:8" s="124" customFormat="1" ht="25.5">
      <c r="B358" s="129" t="s">
        <v>5250</v>
      </c>
      <c r="C358" s="142"/>
      <c r="D358" s="465" t="s">
        <v>4923</v>
      </c>
      <c r="E358" s="203" t="s">
        <v>209</v>
      </c>
      <c r="F358" s="466">
        <v>14</v>
      </c>
      <c r="G358" s="466"/>
      <c r="H358" s="441"/>
    </row>
    <row r="359" spans="2:8" s="124" customFormat="1" ht="25.5">
      <c r="B359" s="129" t="s">
        <v>5251</v>
      </c>
      <c r="C359" s="142"/>
      <c r="D359" s="465" t="s">
        <v>4925</v>
      </c>
      <c r="E359" s="203" t="s">
        <v>209</v>
      </c>
      <c r="F359" s="466">
        <v>75</v>
      </c>
      <c r="G359" s="466"/>
      <c r="H359" s="441"/>
    </row>
    <row r="360" spans="2:8" s="124" customFormat="1" ht="25.5">
      <c r="B360" s="129" t="s">
        <v>5252</v>
      </c>
      <c r="C360" s="142"/>
      <c r="D360" s="465" t="s">
        <v>4927</v>
      </c>
      <c r="E360" s="203" t="s">
        <v>99</v>
      </c>
      <c r="F360" s="466">
        <v>7</v>
      </c>
      <c r="G360" s="466"/>
      <c r="H360" s="441"/>
    </row>
    <row r="361" spans="2:8" s="124" customFormat="1">
      <c r="B361" s="129" t="s">
        <v>5253</v>
      </c>
      <c r="C361" s="142"/>
      <c r="D361" s="465" t="s">
        <v>4929</v>
      </c>
      <c r="E361" s="203" t="s">
        <v>309</v>
      </c>
      <c r="F361" s="466">
        <v>1</v>
      </c>
      <c r="G361" s="442"/>
      <c r="H361" s="443"/>
    </row>
    <row r="362" spans="2:8" s="124" customFormat="1" ht="25.5">
      <c r="B362" s="129" t="s">
        <v>5254</v>
      </c>
      <c r="C362" s="142"/>
      <c r="D362" s="465" t="s">
        <v>5255</v>
      </c>
      <c r="E362" s="203" t="s">
        <v>99</v>
      </c>
      <c r="F362" s="466">
        <v>4</v>
      </c>
      <c r="G362" s="442"/>
      <c r="H362" s="443"/>
    </row>
    <row r="363" spans="2:8" s="124" customFormat="1" ht="25.5">
      <c r="B363" s="129" t="s">
        <v>5256</v>
      </c>
      <c r="C363" s="142"/>
      <c r="D363" s="465" t="s">
        <v>4931</v>
      </c>
      <c r="E363" s="203" t="s">
        <v>99</v>
      </c>
      <c r="F363" s="466">
        <v>7</v>
      </c>
      <c r="G363" s="442"/>
      <c r="H363" s="443"/>
    </row>
    <row r="364" spans="2:8" s="124" customFormat="1">
      <c r="B364" s="129" t="s">
        <v>5257</v>
      </c>
      <c r="C364" s="142"/>
      <c r="D364" s="465" t="s">
        <v>4933</v>
      </c>
      <c r="E364" s="203" t="s">
        <v>309</v>
      </c>
      <c r="F364" s="466">
        <v>1</v>
      </c>
      <c r="G364" s="442"/>
      <c r="H364" s="443"/>
    </row>
    <row r="365" spans="2:8" s="124" customFormat="1">
      <c r="B365" s="132"/>
      <c r="C365" s="133" t="s">
        <v>4842</v>
      </c>
      <c r="D365" s="143" t="s">
        <v>4950</v>
      </c>
      <c r="E365" s="348"/>
      <c r="F365" s="431"/>
      <c r="G365" s="431"/>
      <c r="H365" s="447"/>
    </row>
    <row r="366" spans="2:8" s="124" customFormat="1" ht="38.25">
      <c r="B366" s="129" t="s">
        <v>5258</v>
      </c>
      <c r="C366" s="142"/>
      <c r="D366" s="417" t="s">
        <v>5259</v>
      </c>
      <c r="E366" s="460" t="s">
        <v>99</v>
      </c>
      <c r="F366" s="466">
        <v>1</v>
      </c>
      <c r="G366" s="448"/>
      <c r="H366" s="449"/>
    </row>
    <row r="367" spans="2:8" s="124" customFormat="1" ht="13.5" thickBot="1">
      <c r="B367" s="129" t="s">
        <v>5260</v>
      </c>
      <c r="C367" s="142"/>
      <c r="D367" s="332" t="s">
        <v>4933</v>
      </c>
      <c r="E367" s="460" t="s">
        <v>309</v>
      </c>
      <c r="F367" s="466">
        <v>1</v>
      </c>
      <c r="G367" s="448"/>
      <c r="H367" s="449"/>
    </row>
    <row r="368" spans="2:8" s="181" customFormat="1" ht="13.5" thickBot="1">
      <c r="B368" s="151" t="s">
        <v>5261</v>
      </c>
      <c r="C368" s="423"/>
      <c r="D368" s="423"/>
      <c r="E368" s="456"/>
      <c r="F368" s="424"/>
      <c r="G368" s="424"/>
      <c r="H368" s="437"/>
    </row>
    <row r="369" spans="2:8" s="124" customFormat="1">
      <c r="B369" s="132"/>
      <c r="C369" s="141"/>
      <c r="D369" s="143" t="s">
        <v>5262</v>
      </c>
      <c r="E369" s="203"/>
      <c r="F369" s="466"/>
      <c r="G369" s="466"/>
      <c r="H369" s="441"/>
    </row>
    <row r="370" spans="2:8" s="124" customFormat="1" ht="38.25">
      <c r="B370" s="129" t="s">
        <v>5263</v>
      </c>
      <c r="C370" s="133" t="s">
        <v>4842</v>
      </c>
      <c r="D370" s="465" t="s">
        <v>5264</v>
      </c>
      <c r="E370" s="198" t="s">
        <v>2258</v>
      </c>
      <c r="F370" s="466">
        <v>260</v>
      </c>
      <c r="G370" s="466"/>
      <c r="H370" s="441"/>
    </row>
    <row r="371" spans="2:8" s="124" customFormat="1" ht="38.25">
      <c r="B371" s="129" t="s">
        <v>5265</v>
      </c>
      <c r="C371" s="133" t="s">
        <v>4842</v>
      </c>
      <c r="D371" s="465" t="s">
        <v>5266</v>
      </c>
      <c r="E371" s="198" t="s">
        <v>309</v>
      </c>
      <c r="F371" s="466">
        <v>1</v>
      </c>
      <c r="G371" s="466"/>
      <c r="H371" s="441"/>
    </row>
    <row r="372" spans="2:8" s="124" customFormat="1">
      <c r="B372" s="129" t="s">
        <v>5267</v>
      </c>
      <c r="C372" s="133" t="s">
        <v>4842</v>
      </c>
      <c r="D372" s="465" t="s">
        <v>5268</v>
      </c>
      <c r="E372" s="198" t="s">
        <v>99</v>
      </c>
      <c r="F372" s="466">
        <v>6</v>
      </c>
      <c r="G372" s="466"/>
      <c r="H372" s="441"/>
    </row>
    <row r="373" spans="2:8" s="124" customFormat="1">
      <c r="B373" s="129" t="s">
        <v>5269</v>
      </c>
      <c r="C373" s="133" t="s">
        <v>4842</v>
      </c>
      <c r="D373" s="465" t="s">
        <v>5270</v>
      </c>
      <c r="E373" s="198" t="s">
        <v>99</v>
      </c>
      <c r="F373" s="466">
        <v>6</v>
      </c>
      <c r="G373" s="466"/>
      <c r="H373" s="441"/>
    </row>
    <row r="374" spans="2:8" s="124" customFormat="1">
      <c r="B374" s="129" t="s">
        <v>5271</v>
      </c>
      <c r="C374" s="133" t="s">
        <v>4842</v>
      </c>
      <c r="D374" s="465" t="s">
        <v>5272</v>
      </c>
      <c r="E374" s="198" t="s">
        <v>99</v>
      </c>
      <c r="F374" s="466">
        <v>2</v>
      </c>
      <c r="G374" s="466"/>
      <c r="H374" s="441"/>
    </row>
    <row r="375" spans="2:8" s="124" customFormat="1" ht="38.25">
      <c r="B375" s="129" t="s">
        <v>5273</v>
      </c>
      <c r="C375" s="133" t="s">
        <v>4842</v>
      </c>
      <c r="D375" s="465" t="s">
        <v>5274</v>
      </c>
      <c r="E375" s="198"/>
      <c r="F375" s="466">
        <v>2</v>
      </c>
      <c r="G375" s="466"/>
      <c r="H375" s="441"/>
    </row>
    <row r="376" spans="2:8" s="124" customFormat="1">
      <c r="B376" s="129" t="s">
        <v>5275</v>
      </c>
      <c r="C376" s="133" t="s">
        <v>4842</v>
      </c>
      <c r="D376" s="465" t="s">
        <v>5276</v>
      </c>
      <c r="E376" s="198" t="s">
        <v>99</v>
      </c>
      <c r="F376" s="466">
        <v>6</v>
      </c>
      <c r="G376" s="466"/>
      <c r="H376" s="441"/>
    </row>
    <row r="377" spans="2:8" s="124" customFormat="1">
      <c r="B377" s="129" t="s">
        <v>5277</v>
      </c>
      <c r="C377" s="133" t="s">
        <v>4842</v>
      </c>
      <c r="D377" s="465" t="s">
        <v>5278</v>
      </c>
      <c r="E377" s="198" t="s">
        <v>99</v>
      </c>
      <c r="F377" s="466">
        <v>2</v>
      </c>
      <c r="G377" s="466"/>
      <c r="H377" s="441"/>
    </row>
    <row r="378" spans="2:8" s="124" customFormat="1">
      <c r="B378" s="129" t="s">
        <v>5279</v>
      </c>
      <c r="C378" s="133" t="s">
        <v>4842</v>
      </c>
      <c r="D378" s="410" t="s">
        <v>5280</v>
      </c>
      <c r="E378" s="203" t="s">
        <v>99</v>
      </c>
      <c r="F378" s="466">
        <v>3</v>
      </c>
      <c r="G378" s="448"/>
      <c r="H378" s="449"/>
    </row>
    <row r="379" spans="2:8" s="124" customFormat="1" ht="25.5">
      <c r="B379" s="129" t="s">
        <v>5281</v>
      </c>
      <c r="C379" s="133" t="s">
        <v>4842</v>
      </c>
      <c r="D379" s="465" t="s">
        <v>5282</v>
      </c>
      <c r="E379" s="203" t="s">
        <v>99</v>
      </c>
      <c r="F379" s="435">
        <v>6</v>
      </c>
      <c r="G379" s="448"/>
      <c r="H379" s="449"/>
    </row>
    <row r="380" spans="2:8" s="124" customFormat="1">
      <c r="B380" s="129" t="s">
        <v>5283</v>
      </c>
      <c r="C380" s="133" t="s">
        <v>4842</v>
      </c>
      <c r="D380" s="465" t="s">
        <v>5284</v>
      </c>
      <c r="E380" s="203" t="s">
        <v>99</v>
      </c>
      <c r="F380" s="466">
        <v>6</v>
      </c>
      <c r="G380" s="448"/>
      <c r="H380" s="449"/>
    </row>
    <row r="381" spans="2:8" s="124" customFormat="1">
      <c r="B381" s="129" t="s">
        <v>5285</v>
      </c>
      <c r="C381" s="133" t="s">
        <v>4842</v>
      </c>
      <c r="D381" s="465" t="s">
        <v>5286</v>
      </c>
      <c r="E381" s="203" t="s">
        <v>309</v>
      </c>
      <c r="F381" s="466">
        <v>1</v>
      </c>
      <c r="G381" s="448"/>
      <c r="H381" s="449"/>
    </row>
    <row r="382" spans="2:8" s="124" customFormat="1">
      <c r="B382" s="129" t="s">
        <v>5287</v>
      </c>
      <c r="C382" s="133" t="s">
        <v>4842</v>
      </c>
      <c r="D382" s="465" t="s">
        <v>5288</v>
      </c>
      <c r="E382" s="203" t="s">
        <v>99</v>
      </c>
      <c r="F382" s="466">
        <v>5</v>
      </c>
      <c r="G382" s="448"/>
      <c r="H382" s="449"/>
    </row>
    <row r="383" spans="2:8" s="124" customFormat="1" ht="25.5">
      <c r="B383" s="129" t="s">
        <v>5289</v>
      </c>
      <c r="C383" s="133" t="s">
        <v>4842</v>
      </c>
      <c r="D383" s="465" t="s">
        <v>5290</v>
      </c>
      <c r="E383" s="203"/>
      <c r="F383" s="466">
        <v>18</v>
      </c>
      <c r="G383" s="448"/>
      <c r="H383" s="449"/>
    </row>
    <row r="384" spans="2:8" s="124" customFormat="1">
      <c r="B384" s="129" t="s">
        <v>5291</v>
      </c>
      <c r="C384" s="133" t="s">
        <v>4842</v>
      </c>
      <c r="D384" s="465" t="s">
        <v>5292</v>
      </c>
      <c r="E384" s="198" t="s">
        <v>99</v>
      </c>
      <c r="F384" s="466">
        <v>2</v>
      </c>
      <c r="G384" s="466"/>
      <c r="H384" s="441"/>
    </row>
    <row r="385" spans="2:8" s="124" customFormat="1" ht="38.25">
      <c r="B385" s="129" t="s">
        <v>5293</v>
      </c>
      <c r="C385" s="133" t="s">
        <v>4842</v>
      </c>
      <c r="D385" s="182" t="s">
        <v>5294</v>
      </c>
      <c r="E385" s="203" t="s">
        <v>309</v>
      </c>
      <c r="F385" s="466">
        <v>1</v>
      </c>
      <c r="G385" s="466"/>
      <c r="H385" s="441"/>
    </row>
    <row r="386" spans="2:8" s="124" customFormat="1" ht="25.5">
      <c r="B386" s="129" t="s">
        <v>5295</v>
      </c>
      <c r="C386" s="133" t="s">
        <v>4842</v>
      </c>
      <c r="D386" s="182" t="s">
        <v>5296</v>
      </c>
      <c r="E386" s="203" t="s">
        <v>309</v>
      </c>
      <c r="F386" s="466">
        <v>1</v>
      </c>
      <c r="G386" s="466"/>
      <c r="H386" s="441"/>
    </row>
    <row r="387" spans="2:8" s="124" customFormat="1">
      <c r="B387" s="129" t="s">
        <v>5297</v>
      </c>
      <c r="C387" s="133" t="s">
        <v>4842</v>
      </c>
      <c r="D387" s="410" t="s">
        <v>5298</v>
      </c>
      <c r="E387" s="203" t="s">
        <v>99</v>
      </c>
      <c r="F387" s="466">
        <v>3</v>
      </c>
      <c r="G387" s="466"/>
      <c r="H387" s="441"/>
    </row>
    <row r="388" spans="2:8" s="124" customFormat="1">
      <c r="B388" s="129" t="s">
        <v>5299</v>
      </c>
      <c r="C388" s="133" t="s">
        <v>4842</v>
      </c>
      <c r="D388" s="410" t="s">
        <v>5300</v>
      </c>
      <c r="E388" s="203" t="s">
        <v>99</v>
      </c>
      <c r="F388" s="466">
        <v>2</v>
      </c>
      <c r="G388" s="466"/>
      <c r="H388" s="441"/>
    </row>
    <row r="389" spans="2:8" s="124" customFormat="1">
      <c r="B389" s="129" t="s">
        <v>5301</v>
      </c>
      <c r="C389" s="133" t="s">
        <v>4842</v>
      </c>
      <c r="D389" s="410" t="s">
        <v>4933</v>
      </c>
      <c r="E389" s="203" t="s">
        <v>309</v>
      </c>
      <c r="F389" s="466">
        <v>1</v>
      </c>
      <c r="G389" s="466"/>
      <c r="H389" s="441"/>
    </row>
    <row r="390" spans="2:8" s="124" customFormat="1">
      <c r="B390" s="129" t="s">
        <v>5302</v>
      </c>
      <c r="C390" s="133" t="s">
        <v>4842</v>
      </c>
      <c r="D390" s="410" t="s">
        <v>5303</v>
      </c>
      <c r="E390" s="203" t="s">
        <v>309</v>
      </c>
      <c r="F390" s="466">
        <v>1</v>
      </c>
      <c r="G390" s="466"/>
      <c r="H390" s="441"/>
    </row>
    <row r="391" spans="2:8" s="124" customFormat="1">
      <c r="B391" s="129" t="s">
        <v>5304</v>
      </c>
      <c r="C391" s="133" t="s">
        <v>4842</v>
      </c>
      <c r="D391" s="410" t="s">
        <v>5305</v>
      </c>
      <c r="E391" s="203" t="s">
        <v>309</v>
      </c>
      <c r="F391" s="466">
        <v>1</v>
      </c>
      <c r="G391" s="466"/>
      <c r="H391" s="441"/>
    </row>
    <row r="392" spans="2:8" s="124" customFormat="1">
      <c r="B392" s="132"/>
      <c r="C392" s="422"/>
      <c r="D392" s="414" t="s">
        <v>5306</v>
      </c>
      <c r="E392" s="198"/>
      <c r="F392" s="466"/>
      <c r="G392" s="466"/>
      <c r="H392" s="441"/>
    </row>
    <row r="393" spans="2:8" s="124" customFormat="1" ht="25.5">
      <c r="B393" s="129" t="s">
        <v>5307</v>
      </c>
      <c r="C393" s="133" t="s">
        <v>4842</v>
      </c>
      <c r="D393" s="465" t="s">
        <v>5308</v>
      </c>
      <c r="E393" s="198" t="s">
        <v>2258</v>
      </c>
      <c r="F393" s="466">
        <v>178</v>
      </c>
      <c r="G393" s="466"/>
      <c r="H393" s="441"/>
    </row>
    <row r="394" spans="2:8" s="124" customFormat="1" ht="25.5">
      <c r="B394" s="129" t="s">
        <v>5309</v>
      </c>
      <c r="C394" s="133" t="s">
        <v>4842</v>
      </c>
      <c r="D394" s="465" t="s">
        <v>5310</v>
      </c>
      <c r="E394" s="198" t="s">
        <v>2258</v>
      </c>
      <c r="F394" s="466">
        <v>70</v>
      </c>
      <c r="G394" s="466"/>
      <c r="H394" s="441"/>
    </row>
    <row r="395" spans="2:8" s="124" customFormat="1" ht="38.25">
      <c r="B395" s="129" t="s">
        <v>5311</v>
      </c>
      <c r="C395" s="133" t="s">
        <v>4842</v>
      </c>
      <c r="D395" s="465" t="s">
        <v>5312</v>
      </c>
      <c r="E395" s="198" t="s">
        <v>2258</v>
      </c>
      <c r="F395" s="466">
        <v>36</v>
      </c>
      <c r="G395" s="466"/>
      <c r="H395" s="441"/>
    </row>
    <row r="396" spans="2:8" s="124" customFormat="1" ht="38.25">
      <c r="B396" s="129" t="s">
        <v>5313</v>
      </c>
      <c r="C396" s="133" t="s">
        <v>4842</v>
      </c>
      <c r="D396" s="465" t="s">
        <v>5314</v>
      </c>
      <c r="E396" s="198" t="s">
        <v>2258</v>
      </c>
      <c r="F396" s="466">
        <v>96</v>
      </c>
      <c r="G396" s="466"/>
      <c r="H396" s="441"/>
    </row>
    <row r="397" spans="2:8" s="124" customFormat="1" ht="38.25">
      <c r="B397" s="129" t="s">
        <v>5315</v>
      </c>
      <c r="C397" s="133" t="s">
        <v>4842</v>
      </c>
      <c r="D397" s="465" t="s">
        <v>5316</v>
      </c>
      <c r="E397" s="198" t="s">
        <v>2258</v>
      </c>
      <c r="F397" s="466">
        <v>30</v>
      </c>
      <c r="G397" s="466"/>
      <c r="H397" s="441"/>
    </row>
    <row r="398" spans="2:8" s="124" customFormat="1">
      <c r="B398" s="132"/>
      <c r="C398" s="422"/>
      <c r="D398" s="414" t="s">
        <v>5317</v>
      </c>
      <c r="E398" s="198"/>
      <c r="F398" s="466"/>
      <c r="G398" s="466"/>
      <c r="H398" s="441"/>
    </row>
    <row r="399" spans="2:8" s="124" customFormat="1" ht="25.5">
      <c r="B399" s="129" t="s">
        <v>5318</v>
      </c>
      <c r="C399" s="133" t="s">
        <v>4842</v>
      </c>
      <c r="D399" s="465" t="s">
        <v>5319</v>
      </c>
      <c r="E399" s="198" t="s">
        <v>2258</v>
      </c>
      <c r="F399" s="466">
        <v>24</v>
      </c>
      <c r="G399" s="466"/>
      <c r="H399" s="441"/>
    </row>
    <row r="400" spans="2:8" s="124" customFormat="1" ht="25.5">
      <c r="B400" s="129" t="s">
        <v>5320</v>
      </c>
      <c r="C400" s="133" t="s">
        <v>4842</v>
      </c>
      <c r="D400" s="465" t="s">
        <v>5321</v>
      </c>
      <c r="E400" s="198" t="s">
        <v>2258</v>
      </c>
      <c r="F400" s="466">
        <v>16</v>
      </c>
      <c r="G400" s="466"/>
      <c r="H400" s="441"/>
    </row>
    <row r="401" spans="2:8" s="124" customFormat="1" ht="25.5">
      <c r="B401" s="129" t="s">
        <v>5322</v>
      </c>
      <c r="C401" s="133" t="s">
        <v>4842</v>
      </c>
      <c r="D401" s="465" t="s">
        <v>5323</v>
      </c>
      <c r="E401" s="198" t="s">
        <v>2258</v>
      </c>
      <c r="F401" s="466">
        <v>8</v>
      </c>
      <c r="G401" s="466"/>
      <c r="H401" s="441"/>
    </row>
    <row r="402" spans="2:8" s="124" customFormat="1" ht="25.5">
      <c r="B402" s="129" t="s">
        <v>5324</v>
      </c>
      <c r="C402" s="133" t="s">
        <v>4842</v>
      </c>
      <c r="D402" s="465" t="s">
        <v>5325</v>
      </c>
      <c r="E402" s="198" t="s">
        <v>2258</v>
      </c>
      <c r="F402" s="466">
        <v>4</v>
      </c>
      <c r="G402" s="466"/>
      <c r="H402" s="441"/>
    </row>
    <row r="403" spans="2:8" s="124" customFormat="1" ht="25.5">
      <c r="B403" s="129" t="s">
        <v>5326</v>
      </c>
      <c r="C403" s="133" t="s">
        <v>4842</v>
      </c>
      <c r="D403" s="465" t="s">
        <v>5327</v>
      </c>
      <c r="E403" s="198" t="s">
        <v>2258</v>
      </c>
      <c r="F403" s="466">
        <v>4</v>
      </c>
      <c r="G403" s="466"/>
      <c r="H403" s="441"/>
    </row>
    <row r="404" spans="2:8" s="124" customFormat="1">
      <c r="B404" s="129" t="s">
        <v>5328</v>
      </c>
      <c r="C404" s="133" t="s">
        <v>4842</v>
      </c>
      <c r="D404" s="465" t="s">
        <v>5329</v>
      </c>
      <c r="E404" s="198" t="s">
        <v>99</v>
      </c>
      <c r="F404" s="466">
        <v>10</v>
      </c>
      <c r="G404" s="466"/>
      <c r="H404" s="441"/>
    </row>
    <row r="405" spans="2:8" s="124" customFormat="1">
      <c r="B405" s="129" t="s">
        <v>5330</v>
      </c>
      <c r="C405" s="133" t="s">
        <v>4842</v>
      </c>
      <c r="D405" s="465" t="s">
        <v>5331</v>
      </c>
      <c r="E405" s="198" t="s">
        <v>99</v>
      </c>
      <c r="F405" s="466">
        <v>10</v>
      </c>
      <c r="G405" s="466"/>
      <c r="H405" s="441"/>
    </row>
    <row r="406" spans="2:8" s="124" customFormat="1">
      <c r="B406" s="129" t="s">
        <v>5332</v>
      </c>
      <c r="C406" s="133" t="s">
        <v>4842</v>
      </c>
      <c r="D406" s="465" t="s">
        <v>5333</v>
      </c>
      <c r="E406" s="198" t="s">
        <v>99</v>
      </c>
      <c r="F406" s="466">
        <v>4</v>
      </c>
      <c r="G406" s="466"/>
      <c r="H406" s="441"/>
    </row>
    <row r="407" spans="2:8" s="124" customFormat="1">
      <c r="B407" s="129" t="s">
        <v>5334</v>
      </c>
      <c r="C407" s="133" t="s">
        <v>4842</v>
      </c>
      <c r="D407" s="465" t="s">
        <v>5335</v>
      </c>
      <c r="E407" s="198" t="s">
        <v>99</v>
      </c>
      <c r="F407" s="466">
        <v>4</v>
      </c>
      <c r="G407" s="466"/>
      <c r="H407" s="441"/>
    </row>
    <row r="408" spans="2:8" s="124" customFormat="1">
      <c r="B408" s="129" t="s">
        <v>5336</v>
      </c>
      <c r="C408" s="133" t="s">
        <v>4842</v>
      </c>
      <c r="D408" s="465" t="s">
        <v>5337</v>
      </c>
      <c r="E408" s="198" t="s">
        <v>99</v>
      </c>
      <c r="F408" s="466">
        <v>2</v>
      </c>
      <c r="G408" s="466"/>
      <c r="H408" s="441"/>
    </row>
    <row r="409" spans="2:8" s="124" customFormat="1">
      <c r="B409" s="129" t="s">
        <v>5338</v>
      </c>
      <c r="C409" s="133" t="s">
        <v>4842</v>
      </c>
      <c r="D409" s="465" t="s">
        <v>5339</v>
      </c>
      <c r="E409" s="198" t="s">
        <v>99</v>
      </c>
      <c r="F409" s="466">
        <v>2</v>
      </c>
      <c r="G409" s="466"/>
      <c r="H409" s="441"/>
    </row>
    <row r="410" spans="2:8" s="124" customFormat="1" ht="25.5">
      <c r="B410" s="129" t="s">
        <v>5340</v>
      </c>
      <c r="C410" s="133" t="s">
        <v>4842</v>
      </c>
      <c r="D410" s="465" t="s">
        <v>5341</v>
      </c>
      <c r="E410" s="198" t="s">
        <v>2258</v>
      </c>
      <c r="F410" s="466">
        <v>10</v>
      </c>
      <c r="G410" s="466"/>
      <c r="H410" s="441"/>
    </row>
    <row r="411" spans="2:8" s="124" customFormat="1">
      <c r="B411" s="129" t="s">
        <v>5342</v>
      </c>
      <c r="C411" s="133" t="s">
        <v>4842</v>
      </c>
      <c r="D411" s="465" t="s">
        <v>5343</v>
      </c>
      <c r="E411" s="198" t="s">
        <v>2258</v>
      </c>
      <c r="F411" s="466">
        <v>10</v>
      </c>
      <c r="G411" s="466"/>
      <c r="H411" s="441"/>
    </row>
    <row r="412" spans="2:8" s="124" customFormat="1" ht="13.5" thickBot="1">
      <c r="B412" s="129" t="s">
        <v>5344</v>
      </c>
      <c r="C412" s="133" t="s">
        <v>4842</v>
      </c>
      <c r="D412" s="465" t="s">
        <v>5345</v>
      </c>
      <c r="E412" s="198" t="s">
        <v>99</v>
      </c>
      <c r="F412" s="466">
        <v>1</v>
      </c>
      <c r="G412" s="466"/>
      <c r="H412" s="441"/>
    </row>
    <row r="413" spans="2:8" s="181" customFormat="1" ht="13.5" thickBot="1">
      <c r="B413" s="151" t="s">
        <v>5346</v>
      </c>
      <c r="C413" s="423"/>
      <c r="D413" s="423"/>
      <c r="E413" s="456"/>
      <c r="F413" s="424"/>
      <c r="G413" s="424"/>
      <c r="H413" s="437"/>
    </row>
    <row r="414" spans="2:8" s="124" customFormat="1" ht="38.25">
      <c r="B414" s="129" t="s">
        <v>5347</v>
      </c>
      <c r="C414" s="133" t="s">
        <v>4842</v>
      </c>
      <c r="D414" s="144" t="s">
        <v>5348</v>
      </c>
      <c r="E414" s="467" t="s">
        <v>309</v>
      </c>
      <c r="F414" s="425">
        <v>1</v>
      </c>
      <c r="G414" s="425"/>
      <c r="H414" s="436"/>
    </row>
    <row r="415" spans="2:8" s="124" customFormat="1" ht="51">
      <c r="B415" s="129" t="s">
        <v>5349</v>
      </c>
      <c r="C415" s="133" t="s">
        <v>4842</v>
      </c>
      <c r="D415" s="144" t="s">
        <v>5350</v>
      </c>
      <c r="E415" s="467" t="s">
        <v>309</v>
      </c>
      <c r="F415" s="425">
        <v>1</v>
      </c>
      <c r="G415" s="425"/>
      <c r="H415" s="436"/>
    </row>
    <row r="416" spans="2:8" s="124" customFormat="1" ht="38.25">
      <c r="B416" s="129" t="s">
        <v>5351</v>
      </c>
      <c r="C416" s="133" t="s">
        <v>4842</v>
      </c>
      <c r="D416" s="144" t="s">
        <v>5352</v>
      </c>
      <c r="E416" s="467" t="s">
        <v>309</v>
      </c>
      <c r="F416" s="425">
        <v>1</v>
      </c>
      <c r="G416" s="425"/>
      <c r="H416" s="436"/>
    </row>
    <row r="417" spans="2:8" s="124" customFormat="1" ht="25.5">
      <c r="B417" s="129" t="s">
        <v>5353</v>
      </c>
      <c r="C417" s="133" t="s">
        <v>4842</v>
      </c>
      <c r="D417" s="144" t="s">
        <v>5354</v>
      </c>
      <c r="E417" s="467" t="s">
        <v>309</v>
      </c>
      <c r="F417" s="425">
        <v>1</v>
      </c>
      <c r="G417" s="425"/>
      <c r="H417" s="436"/>
    </row>
    <row r="418" spans="2:8" s="124" customFormat="1">
      <c r="B418" s="129" t="s">
        <v>5355</v>
      </c>
      <c r="C418" s="133" t="s">
        <v>4842</v>
      </c>
      <c r="D418" s="144" t="s">
        <v>5356</v>
      </c>
      <c r="E418" s="467" t="s">
        <v>309</v>
      </c>
      <c r="F418" s="425">
        <v>1</v>
      </c>
      <c r="G418" s="425"/>
      <c r="H418" s="436"/>
    </row>
    <row r="419" spans="2:8" s="124" customFormat="1" ht="13.5" thickBot="1">
      <c r="B419" s="550" t="s">
        <v>5357</v>
      </c>
      <c r="C419" s="551" t="s">
        <v>4842</v>
      </c>
      <c r="D419" s="552" t="s">
        <v>5358</v>
      </c>
      <c r="E419" s="553" t="s">
        <v>309</v>
      </c>
      <c r="F419" s="554">
        <v>1</v>
      </c>
      <c r="G419" s="554"/>
      <c r="H419" s="555"/>
    </row>
    <row r="420" spans="2:8" s="124" customFormat="1" ht="16.5" thickBot="1">
      <c r="B420" s="90" t="s">
        <v>5359</v>
      </c>
      <c r="C420" s="126"/>
      <c r="D420" s="219"/>
      <c r="E420" s="131"/>
      <c r="F420" s="220"/>
      <c r="G420" s="532"/>
      <c r="H420" s="532"/>
    </row>
    <row r="421" spans="2:8">
      <c r="B421" s="556" t="s">
        <v>4837</v>
      </c>
      <c r="C421" s="556"/>
      <c r="D421" s="557"/>
      <c r="E421" s="557"/>
      <c r="F421" s="557"/>
      <c r="G421" s="557"/>
      <c r="H421" s="92"/>
    </row>
  </sheetData>
  <mergeCells count="1">
    <mergeCell ref="B421:G421"/>
  </mergeCells>
  <printOptions horizontalCentered="1"/>
  <pageMargins left="0.62992125984251968" right="0.23622047244094491" top="0.59055118110236227" bottom="0.43307086614173229" header="0.31496062992125984" footer="0.11811023622047245"/>
  <pageSetup paperSize="119" scale="73" fitToHeight="0" orientation="portrait" verticalDpi="1200" r:id="rId1"/>
  <headerFooter>
    <oddFooter>&amp;CPágina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92"/>
  <sheetViews>
    <sheetView zoomScale="85" zoomScaleNormal="85" workbookViewId="0">
      <selection activeCell="D18" sqref="D18"/>
    </sheetView>
  </sheetViews>
  <sheetFormatPr defaultColWidth="9.140625" defaultRowHeight="12.75"/>
  <cols>
    <col min="1" max="1" width="1.140625" style="89" customWidth="1"/>
    <col min="2" max="2" width="10" style="89" customWidth="1"/>
    <col min="3" max="3" width="5.140625" style="89" bestFit="1" customWidth="1"/>
    <col min="4" max="4" width="70.28515625" style="89" bestFit="1" customWidth="1"/>
    <col min="5" max="5" width="8.5703125" style="89" customWidth="1"/>
    <col min="6" max="6" width="11.7109375" style="89" customWidth="1"/>
    <col min="7" max="8" width="12.5703125" style="89" customWidth="1"/>
    <col min="9" max="9" width="2.140625" style="89" customWidth="1"/>
    <col min="10" max="251" width="11.42578125" style="89" customWidth="1"/>
    <col min="252" max="16384" width="9.140625" style="89"/>
  </cols>
  <sheetData>
    <row r="1" spans="2:9" s="58" customFormat="1">
      <c r="B1" s="71" t="s">
        <v>0</v>
      </c>
      <c r="C1" s="568"/>
      <c r="D1" s="568"/>
      <c r="E1" s="568"/>
      <c r="F1" s="568"/>
      <c r="G1" s="568"/>
      <c r="H1" s="568"/>
      <c r="I1" s="569"/>
    </row>
    <row r="2" spans="2:9" s="58" customFormat="1">
      <c r="B2" s="71" t="s">
        <v>1</v>
      </c>
      <c r="C2" s="568"/>
      <c r="D2" s="568"/>
      <c r="E2" s="568"/>
      <c r="F2" s="568"/>
      <c r="G2" s="568"/>
      <c r="H2" s="568"/>
      <c r="I2" s="569"/>
    </row>
    <row r="3" spans="2:9" s="58" customFormat="1" ht="25.5">
      <c r="B3" s="71" t="str">
        <f>+Resumen!B3</f>
        <v>SDP/00014311/573/2020 - OBRAS CIVILES, INSTALACIONES Y MANTENIMIENTO POSTERIOR - PALACIO DE JUSTICIA DE SALTO DEL GUAIRÁ.</v>
      </c>
      <c r="C3" s="568"/>
      <c r="D3" s="568"/>
      <c r="E3" s="568"/>
      <c r="F3" s="568"/>
      <c r="G3" s="568"/>
      <c r="H3" s="568"/>
      <c r="I3" s="569"/>
    </row>
    <row r="4" spans="2:9" s="58" customFormat="1" ht="5.25" customHeight="1" thickBot="1">
      <c r="B4" s="72"/>
      <c r="C4" s="73"/>
      <c r="D4" s="570"/>
      <c r="E4" s="570"/>
      <c r="F4" s="571"/>
      <c r="G4" s="572"/>
      <c r="H4" s="572"/>
      <c r="I4" s="569"/>
    </row>
    <row r="5" spans="2:9" s="58" customFormat="1" ht="18.75" thickBot="1">
      <c r="B5" s="74" t="s">
        <v>5360</v>
      </c>
      <c r="C5" s="573"/>
      <c r="D5" s="75"/>
      <c r="E5" s="573"/>
      <c r="F5" s="574"/>
      <c r="G5" s="575"/>
      <c r="H5" s="576"/>
      <c r="I5" s="569"/>
    </row>
    <row r="6" spans="2:9" s="58" customFormat="1">
      <c r="B6" s="76" t="s">
        <v>45</v>
      </c>
      <c r="C6" s="77" t="s">
        <v>46</v>
      </c>
      <c r="D6" s="77" t="s">
        <v>47</v>
      </c>
      <c r="E6" s="77" t="s">
        <v>48</v>
      </c>
      <c r="F6" s="78" t="s">
        <v>5361</v>
      </c>
      <c r="G6" s="79" t="s">
        <v>50</v>
      </c>
      <c r="H6" s="80" t="s">
        <v>6</v>
      </c>
      <c r="I6" s="569"/>
    </row>
    <row r="7" spans="2:9" s="58" customFormat="1" ht="13.5" thickBot="1">
      <c r="B7" s="81"/>
      <c r="C7" s="82" t="s">
        <v>51</v>
      </c>
      <c r="D7" s="82"/>
      <c r="E7" s="83"/>
      <c r="F7" s="84"/>
      <c r="G7" s="85" t="s">
        <v>8</v>
      </c>
      <c r="H7" s="86" t="s">
        <v>8</v>
      </c>
      <c r="I7" s="569"/>
    </row>
    <row r="8" spans="2:9" s="124" customFormat="1" ht="15" thickBot="1">
      <c r="B8" s="139" t="s">
        <v>4839</v>
      </c>
      <c r="C8" s="140"/>
      <c r="D8" s="140"/>
      <c r="E8" s="140"/>
      <c r="F8" s="140"/>
      <c r="G8" s="140"/>
      <c r="H8" s="152"/>
    </row>
    <row r="9" spans="2:9" s="64" customFormat="1" ht="16.5" thickBot="1">
      <c r="B9" s="151" t="s">
        <v>5362</v>
      </c>
      <c r="C9" s="87"/>
      <c r="D9" s="87"/>
      <c r="E9" s="87"/>
      <c r="F9" s="88"/>
      <c r="G9" s="88"/>
      <c r="H9" s="531"/>
      <c r="I9" s="181"/>
    </row>
    <row r="10" spans="2:9" s="64" customFormat="1" ht="38.25">
      <c r="B10" s="153" t="s">
        <v>5363</v>
      </c>
      <c r="C10" s="548" t="s">
        <v>5364</v>
      </c>
      <c r="D10" s="144" t="s">
        <v>5365</v>
      </c>
      <c r="E10" s="577" t="s">
        <v>99</v>
      </c>
      <c r="F10" s="578">
        <v>1</v>
      </c>
      <c r="G10" s="579"/>
      <c r="H10" s="580"/>
      <c r="I10" s="581"/>
    </row>
    <row r="11" spans="2:9" s="64" customFormat="1" ht="38.25">
      <c r="B11" s="153" t="s">
        <v>5366</v>
      </c>
      <c r="C11" s="548" t="s">
        <v>5364</v>
      </c>
      <c r="D11" s="465" t="s">
        <v>5367</v>
      </c>
      <c r="E11" s="130" t="s">
        <v>99</v>
      </c>
      <c r="F11" s="582">
        <v>1</v>
      </c>
      <c r="G11" s="583"/>
      <c r="H11" s="584"/>
      <c r="I11" s="581"/>
    </row>
    <row r="12" spans="2:9" s="64" customFormat="1">
      <c r="B12" s="153" t="s">
        <v>5368</v>
      </c>
      <c r="C12" s="548" t="s">
        <v>5364</v>
      </c>
      <c r="D12" s="465" t="s">
        <v>5369</v>
      </c>
      <c r="E12" s="130" t="s">
        <v>99</v>
      </c>
      <c r="F12" s="582">
        <v>2</v>
      </c>
      <c r="G12" s="585"/>
      <c r="H12" s="586"/>
      <c r="I12" s="581"/>
    </row>
    <row r="13" spans="2:9" s="64" customFormat="1" ht="38.25">
      <c r="B13" s="153" t="s">
        <v>5370</v>
      </c>
      <c r="C13" s="548" t="s">
        <v>5364</v>
      </c>
      <c r="D13" s="465" t="s">
        <v>5371</v>
      </c>
      <c r="E13" s="130" t="s">
        <v>99</v>
      </c>
      <c r="F13" s="582">
        <v>1</v>
      </c>
      <c r="G13" s="583"/>
      <c r="H13" s="584"/>
      <c r="I13" s="581"/>
    </row>
    <row r="14" spans="2:9" s="64" customFormat="1" ht="38.25">
      <c r="B14" s="153" t="s">
        <v>5372</v>
      </c>
      <c r="C14" s="548" t="s">
        <v>5364</v>
      </c>
      <c r="D14" s="587" t="s">
        <v>5373</v>
      </c>
      <c r="E14" s="178" t="s">
        <v>309</v>
      </c>
      <c r="F14" s="582">
        <v>1</v>
      </c>
      <c r="G14" s="583"/>
      <c r="H14" s="584"/>
      <c r="I14" s="581"/>
    </row>
    <row r="15" spans="2:9" s="64" customFormat="1" ht="25.5">
      <c r="B15" s="153" t="s">
        <v>5374</v>
      </c>
      <c r="C15" s="548" t="s">
        <v>5364</v>
      </c>
      <c r="D15" s="587" t="s">
        <v>5375</v>
      </c>
      <c r="E15" s="178" t="s">
        <v>309</v>
      </c>
      <c r="F15" s="582">
        <v>1</v>
      </c>
      <c r="G15" s="583"/>
      <c r="H15" s="584"/>
      <c r="I15" s="581"/>
    </row>
    <row r="16" spans="2:9" s="64" customFormat="1">
      <c r="B16" s="153" t="s">
        <v>5376</v>
      </c>
      <c r="C16" s="588" t="s">
        <v>5364</v>
      </c>
      <c r="D16" s="465" t="s">
        <v>5377</v>
      </c>
      <c r="E16" s="130" t="s">
        <v>99</v>
      </c>
      <c r="F16" s="582">
        <v>4</v>
      </c>
      <c r="G16" s="585"/>
      <c r="H16" s="586"/>
      <c r="I16" s="581"/>
    </row>
    <row r="17" spans="2:9" s="64" customFormat="1" ht="25.5">
      <c r="B17" s="153" t="s">
        <v>5378</v>
      </c>
      <c r="C17" s="548" t="s">
        <v>5364</v>
      </c>
      <c r="D17" s="465" t="s">
        <v>5379</v>
      </c>
      <c r="E17" s="130" t="s">
        <v>309</v>
      </c>
      <c r="F17" s="582">
        <v>1</v>
      </c>
      <c r="G17" s="583"/>
      <c r="H17" s="584"/>
      <c r="I17" s="581"/>
    </row>
    <row r="18" spans="2:9" s="64" customFormat="1" ht="63.75">
      <c r="B18" s="153" t="s">
        <v>5380</v>
      </c>
      <c r="C18" s="548" t="s">
        <v>5364</v>
      </c>
      <c r="D18" s="465" t="s">
        <v>5381</v>
      </c>
      <c r="E18" s="130" t="s">
        <v>309</v>
      </c>
      <c r="F18" s="582">
        <v>1</v>
      </c>
      <c r="G18" s="583"/>
      <c r="H18" s="584"/>
      <c r="I18" s="581"/>
    </row>
    <row r="19" spans="2:9" s="64" customFormat="1">
      <c r="B19" s="153" t="s">
        <v>5382</v>
      </c>
      <c r="C19" s="548" t="s">
        <v>5364</v>
      </c>
      <c r="D19" s="465" t="s">
        <v>5383</v>
      </c>
      <c r="E19" s="130" t="s">
        <v>99</v>
      </c>
      <c r="F19" s="582">
        <v>3</v>
      </c>
      <c r="G19" s="583"/>
      <c r="H19" s="584"/>
      <c r="I19" s="581"/>
    </row>
    <row r="20" spans="2:9" s="64" customFormat="1">
      <c r="B20" s="153" t="s">
        <v>5384</v>
      </c>
      <c r="C20" s="548" t="s">
        <v>5364</v>
      </c>
      <c r="D20" s="465" t="s">
        <v>5385</v>
      </c>
      <c r="E20" s="130" t="s">
        <v>99</v>
      </c>
      <c r="F20" s="582">
        <v>1</v>
      </c>
      <c r="G20" s="583"/>
      <c r="H20" s="584"/>
      <c r="I20" s="581"/>
    </row>
    <row r="21" spans="2:9" s="64" customFormat="1" ht="25.5">
      <c r="B21" s="153" t="s">
        <v>5386</v>
      </c>
      <c r="C21" s="548" t="s">
        <v>5364</v>
      </c>
      <c r="D21" s="465" t="s">
        <v>5387</v>
      </c>
      <c r="E21" s="130" t="s">
        <v>99</v>
      </c>
      <c r="F21" s="465">
        <v>5</v>
      </c>
      <c r="G21" s="583"/>
      <c r="H21" s="584"/>
      <c r="I21" s="581"/>
    </row>
    <row r="22" spans="2:9" s="64" customFormat="1" ht="25.5">
      <c r="B22" s="153" t="s">
        <v>5388</v>
      </c>
      <c r="C22" s="548" t="s">
        <v>5364</v>
      </c>
      <c r="D22" s="465" t="s">
        <v>5389</v>
      </c>
      <c r="E22" s="130" t="s">
        <v>99</v>
      </c>
      <c r="F22" s="465">
        <v>5</v>
      </c>
      <c r="G22" s="583"/>
      <c r="H22" s="584"/>
      <c r="I22" s="581"/>
    </row>
    <row r="23" spans="2:9" s="64" customFormat="1" ht="38.25">
      <c r="B23" s="153" t="s">
        <v>5390</v>
      </c>
      <c r="C23" s="548" t="s">
        <v>5364</v>
      </c>
      <c r="D23" s="465" t="s">
        <v>5391</v>
      </c>
      <c r="E23" s="130" t="s">
        <v>99</v>
      </c>
      <c r="F23" s="465">
        <v>2</v>
      </c>
      <c r="G23" s="583"/>
      <c r="H23" s="584"/>
      <c r="I23" s="581"/>
    </row>
    <row r="24" spans="2:9" s="64" customFormat="1" ht="102.75" thickBot="1">
      <c r="B24" s="153" t="s">
        <v>5392</v>
      </c>
      <c r="C24" s="548" t="s">
        <v>5364</v>
      </c>
      <c r="D24" s="465" t="s">
        <v>5393</v>
      </c>
      <c r="E24" s="130" t="s">
        <v>99</v>
      </c>
      <c r="F24" s="465">
        <v>6</v>
      </c>
      <c r="G24" s="585"/>
      <c r="H24" s="584"/>
      <c r="I24" s="581"/>
    </row>
    <row r="25" spans="2:9" s="64" customFormat="1" ht="16.5" thickBot="1">
      <c r="B25" s="151" t="s">
        <v>5394</v>
      </c>
      <c r="C25" s="87"/>
      <c r="D25" s="87"/>
      <c r="E25" s="154"/>
      <c r="F25" s="154"/>
      <c r="G25" s="155"/>
      <c r="H25" s="156"/>
      <c r="I25" s="581"/>
    </row>
    <row r="26" spans="2:9" s="64" customFormat="1" ht="63.75">
      <c r="B26" s="153" t="s">
        <v>5395</v>
      </c>
      <c r="C26" s="548" t="s">
        <v>5364</v>
      </c>
      <c r="D26" s="148" t="s">
        <v>5396</v>
      </c>
      <c r="E26" s="589" t="s">
        <v>99</v>
      </c>
      <c r="F26" s="144">
        <v>1</v>
      </c>
      <c r="G26" s="579"/>
      <c r="H26" s="580"/>
      <c r="I26" s="581"/>
    </row>
    <row r="27" spans="2:9" s="64" customFormat="1" ht="38.25">
      <c r="B27" s="153" t="s">
        <v>5397</v>
      </c>
      <c r="C27" s="548" t="s">
        <v>5364</v>
      </c>
      <c r="D27" s="149" t="s">
        <v>5398</v>
      </c>
      <c r="E27" s="130" t="s">
        <v>99</v>
      </c>
      <c r="F27" s="465">
        <v>4</v>
      </c>
      <c r="G27" s="583"/>
      <c r="H27" s="584"/>
      <c r="I27" s="581"/>
    </row>
    <row r="28" spans="2:9" s="64" customFormat="1">
      <c r="B28" s="153" t="s">
        <v>5399</v>
      </c>
      <c r="C28" s="548" t="s">
        <v>5364</v>
      </c>
      <c r="D28" s="149" t="s">
        <v>5400</v>
      </c>
      <c r="E28" s="130" t="s">
        <v>309</v>
      </c>
      <c r="F28" s="465">
        <v>1</v>
      </c>
      <c r="G28" s="583"/>
      <c r="H28" s="584"/>
      <c r="I28" s="581"/>
    </row>
    <row r="29" spans="2:9" s="64" customFormat="1">
      <c r="B29" s="153" t="s">
        <v>5401</v>
      </c>
      <c r="C29" s="548" t="s">
        <v>5364</v>
      </c>
      <c r="D29" s="149" t="s">
        <v>5402</v>
      </c>
      <c r="E29" s="130" t="s">
        <v>99</v>
      </c>
      <c r="F29" s="465">
        <v>2</v>
      </c>
      <c r="G29" s="583"/>
      <c r="H29" s="584"/>
      <c r="I29" s="581"/>
    </row>
    <row r="30" spans="2:9" s="64" customFormat="1">
      <c r="B30" s="153" t="s">
        <v>5403</v>
      </c>
      <c r="C30" s="548" t="s">
        <v>5364</v>
      </c>
      <c r="D30" s="149" t="s">
        <v>5404</v>
      </c>
      <c r="E30" s="130" t="s">
        <v>99</v>
      </c>
      <c r="F30" s="465">
        <v>1</v>
      </c>
      <c r="G30" s="583"/>
      <c r="H30" s="584"/>
      <c r="I30" s="581"/>
    </row>
    <row r="31" spans="2:9" s="64" customFormat="1" ht="25.5">
      <c r="B31" s="153" t="s">
        <v>5405</v>
      </c>
      <c r="C31" s="548" t="s">
        <v>5364</v>
      </c>
      <c r="D31" s="149" t="s">
        <v>5406</v>
      </c>
      <c r="E31" s="130" t="s">
        <v>99</v>
      </c>
      <c r="F31" s="465">
        <v>376</v>
      </c>
      <c r="G31" s="583"/>
      <c r="H31" s="584"/>
      <c r="I31" s="581"/>
    </row>
    <row r="32" spans="2:9" s="64" customFormat="1" ht="25.5">
      <c r="B32" s="153" t="s">
        <v>5407</v>
      </c>
      <c r="C32" s="548" t="s">
        <v>5364</v>
      </c>
      <c r="D32" s="149" t="s">
        <v>5408</v>
      </c>
      <c r="E32" s="130" t="s">
        <v>99</v>
      </c>
      <c r="F32" s="465">
        <v>236</v>
      </c>
      <c r="G32" s="583"/>
      <c r="H32" s="584"/>
      <c r="I32" s="581"/>
    </row>
    <row r="33" spans="2:9" s="64" customFormat="1" ht="25.5">
      <c r="B33" s="153" t="s">
        <v>5409</v>
      </c>
      <c r="C33" s="548" t="s">
        <v>5364</v>
      </c>
      <c r="D33" s="149" t="s">
        <v>5410</v>
      </c>
      <c r="E33" s="130" t="s">
        <v>99</v>
      </c>
      <c r="F33" s="465">
        <v>4</v>
      </c>
      <c r="G33" s="583"/>
      <c r="H33" s="584"/>
      <c r="I33" s="581"/>
    </row>
    <row r="34" spans="2:9" s="64" customFormat="1">
      <c r="B34" s="153" t="s">
        <v>5411</v>
      </c>
      <c r="C34" s="548" t="s">
        <v>5364</v>
      </c>
      <c r="D34" s="149" t="s">
        <v>5412</v>
      </c>
      <c r="E34" s="130" t="s">
        <v>99</v>
      </c>
      <c r="F34" s="465">
        <v>48</v>
      </c>
      <c r="G34" s="583"/>
      <c r="H34" s="584"/>
      <c r="I34" s="581"/>
    </row>
    <row r="35" spans="2:9" s="64" customFormat="1" ht="38.25">
      <c r="B35" s="153" t="s">
        <v>5413</v>
      </c>
      <c r="C35" s="548" t="s">
        <v>5364</v>
      </c>
      <c r="D35" s="149" t="s">
        <v>5414</v>
      </c>
      <c r="E35" s="130" t="s">
        <v>99</v>
      </c>
      <c r="F35" s="465">
        <v>12</v>
      </c>
      <c r="G35" s="583"/>
      <c r="H35" s="584"/>
      <c r="I35" s="581"/>
    </row>
    <row r="36" spans="2:9" s="64" customFormat="1" ht="25.5">
      <c r="B36" s="153" t="s">
        <v>5415</v>
      </c>
      <c r="C36" s="548" t="s">
        <v>5364</v>
      </c>
      <c r="D36" s="149" t="s">
        <v>5416</v>
      </c>
      <c r="E36" s="130" t="s">
        <v>99</v>
      </c>
      <c r="F36" s="465">
        <v>29</v>
      </c>
      <c r="G36" s="583"/>
      <c r="H36" s="584"/>
      <c r="I36" s="581"/>
    </row>
    <row r="37" spans="2:9" s="64" customFormat="1">
      <c r="B37" s="153" t="s">
        <v>5417</v>
      </c>
      <c r="C37" s="548" t="s">
        <v>5364</v>
      </c>
      <c r="D37" s="149" t="s">
        <v>5418</v>
      </c>
      <c r="E37" s="130" t="s">
        <v>99</v>
      </c>
      <c r="F37" s="465">
        <v>41</v>
      </c>
      <c r="G37" s="585"/>
      <c r="H37" s="584"/>
      <c r="I37" s="581"/>
    </row>
    <row r="38" spans="2:9" s="64" customFormat="1" ht="26.25" thickBot="1">
      <c r="B38" s="153" t="s">
        <v>5419</v>
      </c>
      <c r="C38" s="548" t="s">
        <v>5364</v>
      </c>
      <c r="D38" s="149" t="s">
        <v>5420</v>
      </c>
      <c r="E38" s="130" t="s">
        <v>99</v>
      </c>
      <c r="F38" s="465">
        <v>41</v>
      </c>
      <c r="G38" s="585"/>
      <c r="H38" s="584"/>
      <c r="I38" s="581"/>
    </row>
    <row r="39" spans="2:9" s="64" customFormat="1" ht="16.5" thickBot="1">
      <c r="B39" s="151" t="s">
        <v>5421</v>
      </c>
      <c r="C39" s="87"/>
      <c r="D39" s="87"/>
      <c r="E39" s="154"/>
      <c r="F39" s="154"/>
      <c r="G39" s="155"/>
      <c r="H39" s="156"/>
      <c r="I39" s="581"/>
    </row>
    <row r="40" spans="2:9" s="64" customFormat="1" ht="15" thickBot="1">
      <c r="B40" s="138" t="s">
        <v>5422</v>
      </c>
      <c r="C40" s="131"/>
      <c r="D40" s="131"/>
      <c r="E40" s="157"/>
      <c r="F40" s="157"/>
      <c r="G40" s="157"/>
      <c r="H40" s="158"/>
      <c r="I40" s="581"/>
    </row>
    <row r="41" spans="2:9" s="64" customFormat="1" ht="63.75">
      <c r="B41" s="153" t="s">
        <v>5423</v>
      </c>
      <c r="C41" s="548" t="s">
        <v>5364</v>
      </c>
      <c r="D41" s="148" t="s">
        <v>5424</v>
      </c>
      <c r="E41" s="589" t="s">
        <v>99</v>
      </c>
      <c r="F41" s="590">
        <v>8</v>
      </c>
      <c r="G41" s="591"/>
      <c r="H41" s="580"/>
      <c r="I41" s="581"/>
    </row>
    <row r="42" spans="2:9" s="64" customFormat="1" ht="25.5">
      <c r="B42" s="153" t="s">
        <v>5425</v>
      </c>
      <c r="C42" s="548" t="s">
        <v>5364</v>
      </c>
      <c r="D42" s="149" t="s">
        <v>5426</v>
      </c>
      <c r="E42" s="130" t="s">
        <v>99</v>
      </c>
      <c r="F42" s="592">
        <v>16</v>
      </c>
      <c r="G42" s="593"/>
      <c r="H42" s="584"/>
      <c r="I42" s="581"/>
    </row>
    <row r="43" spans="2:9" s="64" customFormat="1" ht="25.5">
      <c r="B43" s="153" t="s">
        <v>5427</v>
      </c>
      <c r="C43" s="548" t="s">
        <v>5364</v>
      </c>
      <c r="D43" s="149" t="s">
        <v>5428</v>
      </c>
      <c r="E43" s="130" t="s">
        <v>99</v>
      </c>
      <c r="F43" s="592">
        <v>18</v>
      </c>
      <c r="G43" s="593"/>
      <c r="H43" s="584"/>
      <c r="I43" s="581"/>
    </row>
    <row r="44" spans="2:9" s="64" customFormat="1">
      <c r="B44" s="153" t="s">
        <v>5429</v>
      </c>
      <c r="C44" s="548" t="s">
        <v>5364</v>
      </c>
      <c r="D44" s="149" t="s">
        <v>5418</v>
      </c>
      <c r="E44" s="130" t="s">
        <v>99</v>
      </c>
      <c r="F44" s="592">
        <v>16</v>
      </c>
      <c r="G44" s="593"/>
      <c r="H44" s="584"/>
      <c r="I44" s="581"/>
    </row>
    <row r="45" spans="2:9" s="64" customFormat="1">
      <c r="B45" s="153" t="s">
        <v>5430</v>
      </c>
      <c r="C45" s="548" t="s">
        <v>5364</v>
      </c>
      <c r="D45" s="149" t="s">
        <v>5431</v>
      </c>
      <c r="E45" s="130" t="s">
        <v>99</v>
      </c>
      <c r="F45" s="592">
        <v>16</v>
      </c>
      <c r="G45" s="593"/>
      <c r="H45" s="584"/>
      <c r="I45" s="581"/>
    </row>
    <row r="46" spans="2:9" s="64" customFormat="1" ht="25.5">
      <c r="B46" s="153" t="s">
        <v>5432</v>
      </c>
      <c r="C46" s="548" t="s">
        <v>5364</v>
      </c>
      <c r="D46" s="149" t="s">
        <v>5433</v>
      </c>
      <c r="E46" s="130" t="s">
        <v>99</v>
      </c>
      <c r="F46" s="592">
        <v>8</v>
      </c>
      <c r="G46" s="593"/>
      <c r="H46" s="584"/>
      <c r="I46" s="581"/>
    </row>
    <row r="47" spans="2:9" s="64" customFormat="1" ht="13.5" thickBot="1">
      <c r="B47" s="153" t="s">
        <v>5434</v>
      </c>
      <c r="C47" s="548" t="s">
        <v>5364</v>
      </c>
      <c r="D47" s="149" t="s">
        <v>5435</v>
      </c>
      <c r="E47" s="130" t="s">
        <v>99</v>
      </c>
      <c r="F47" s="592">
        <v>150</v>
      </c>
      <c r="G47" s="593"/>
      <c r="H47" s="584"/>
      <c r="I47" s="581"/>
    </row>
    <row r="48" spans="2:9" s="124" customFormat="1" ht="15" thickBot="1">
      <c r="B48" s="139" t="s">
        <v>4919</v>
      </c>
      <c r="C48" s="140"/>
      <c r="D48" s="140"/>
      <c r="E48" s="159"/>
      <c r="F48" s="159"/>
      <c r="G48" s="159"/>
      <c r="H48" s="160"/>
      <c r="I48" s="161"/>
    </row>
    <row r="49" spans="2:9" s="64" customFormat="1" ht="16.5" thickBot="1">
      <c r="B49" s="151" t="s">
        <v>5362</v>
      </c>
      <c r="C49" s="87"/>
      <c r="D49" s="87"/>
      <c r="E49" s="154"/>
      <c r="F49" s="155"/>
      <c r="G49" s="155"/>
      <c r="H49" s="594"/>
      <c r="I49" s="581"/>
    </row>
    <row r="50" spans="2:9" s="64" customFormat="1" ht="25.5">
      <c r="B50" s="153" t="s">
        <v>5436</v>
      </c>
      <c r="C50" s="548" t="s">
        <v>5364</v>
      </c>
      <c r="D50" s="149" t="s">
        <v>5437</v>
      </c>
      <c r="E50" s="130" t="s">
        <v>309</v>
      </c>
      <c r="F50" s="405">
        <v>1</v>
      </c>
      <c r="G50" s="595"/>
      <c r="H50" s="584"/>
      <c r="I50" s="581"/>
    </row>
    <row r="51" spans="2:9" s="64" customFormat="1" ht="25.5">
      <c r="B51" s="153" t="s">
        <v>5438</v>
      </c>
      <c r="C51" s="548" t="s">
        <v>5364</v>
      </c>
      <c r="D51" s="149" t="s">
        <v>5439</v>
      </c>
      <c r="E51" s="130" t="s">
        <v>309</v>
      </c>
      <c r="F51" s="405">
        <v>1</v>
      </c>
      <c r="G51" s="595"/>
      <c r="H51" s="584"/>
      <c r="I51" s="581"/>
    </row>
    <row r="52" spans="2:9" s="64" customFormat="1" ht="25.5">
      <c r="B52" s="153" t="s">
        <v>5440</v>
      </c>
      <c r="C52" s="548" t="s">
        <v>5364</v>
      </c>
      <c r="D52" s="149" t="s">
        <v>5441</v>
      </c>
      <c r="E52" s="130" t="s">
        <v>309</v>
      </c>
      <c r="F52" s="405">
        <v>1</v>
      </c>
      <c r="G52" s="595"/>
      <c r="H52" s="584"/>
      <c r="I52" s="581"/>
    </row>
    <row r="53" spans="2:9" s="64" customFormat="1" ht="25.5">
      <c r="B53" s="153" t="s">
        <v>5442</v>
      </c>
      <c r="C53" s="548" t="s">
        <v>5364</v>
      </c>
      <c r="D53" s="149" t="s">
        <v>5443</v>
      </c>
      <c r="E53" s="130" t="s">
        <v>309</v>
      </c>
      <c r="F53" s="405">
        <v>1</v>
      </c>
      <c r="G53" s="595"/>
      <c r="H53" s="584"/>
      <c r="I53" s="581"/>
    </row>
    <row r="54" spans="2:9" s="64" customFormat="1" ht="25.5">
      <c r="B54" s="153" t="s">
        <v>5444</v>
      </c>
      <c r="C54" s="548" t="s">
        <v>5364</v>
      </c>
      <c r="D54" s="149" t="s">
        <v>5445</v>
      </c>
      <c r="E54" s="130" t="s">
        <v>309</v>
      </c>
      <c r="F54" s="405">
        <v>1</v>
      </c>
      <c r="G54" s="595"/>
      <c r="H54" s="584"/>
      <c r="I54" s="581"/>
    </row>
    <row r="55" spans="2:9" s="64" customFormat="1" ht="25.5">
      <c r="B55" s="153" t="s">
        <v>5446</v>
      </c>
      <c r="C55" s="548" t="s">
        <v>5364</v>
      </c>
      <c r="D55" s="149" t="s">
        <v>5447</v>
      </c>
      <c r="E55" s="130" t="s">
        <v>309</v>
      </c>
      <c r="F55" s="405">
        <v>1</v>
      </c>
      <c r="G55" s="595"/>
      <c r="H55" s="584"/>
      <c r="I55" s="581"/>
    </row>
    <row r="56" spans="2:9" s="64" customFormat="1" ht="25.5">
      <c r="B56" s="153" t="s">
        <v>5448</v>
      </c>
      <c r="C56" s="548" t="s">
        <v>5364</v>
      </c>
      <c r="D56" s="149" t="s">
        <v>5449</v>
      </c>
      <c r="E56" s="130" t="s">
        <v>309</v>
      </c>
      <c r="F56" s="405">
        <v>1</v>
      </c>
      <c r="G56" s="595"/>
      <c r="H56" s="584"/>
      <c r="I56" s="581"/>
    </row>
    <row r="57" spans="2:9" s="64" customFormat="1" ht="25.5">
      <c r="B57" s="153" t="s">
        <v>5450</v>
      </c>
      <c r="C57" s="548" t="s">
        <v>5364</v>
      </c>
      <c r="D57" s="149" t="s">
        <v>5451</v>
      </c>
      <c r="E57" s="130" t="s">
        <v>309</v>
      </c>
      <c r="F57" s="405">
        <v>1</v>
      </c>
      <c r="G57" s="595"/>
      <c r="H57" s="584"/>
      <c r="I57" s="581"/>
    </row>
    <row r="58" spans="2:9" s="64" customFormat="1" ht="25.5">
      <c r="B58" s="153" t="s">
        <v>5452</v>
      </c>
      <c r="C58" s="548" t="s">
        <v>5364</v>
      </c>
      <c r="D58" s="149" t="s">
        <v>5453</v>
      </c>
      <c r="E58" s="130" t="s">
        <v>309</v>
      </c>
      <c r="F58" s="405">
        <v>1</v>
      </c>
      <c r="G58" s="595"/>
      <c r="H58" s="584"/>
      <c r="I58" s="581"/>
    </row>
    <row r="59" spans="2:9" s="64" customFormat="1" ht="25.5">
      <c r="B59" s="153" t="s">
        <v>5454</v>
      </c>
      <c r="C59" s="548" t="s">
        <v>5364</v>
      </c>
      <c r="D59" s="149" t="s">
        <v>5455</v>
      </c>
      <c r="E59" s="130" t="s">
        <v>309</v>
      </c>
      <c r="F59" s="405">
        <v>1</v>
      </c>
      <c r="G59" s="595"/>
      <c r="H59" s="584"/>
      <c r="I59" s="581"/>
    </row>
    <row r="60" spans="2:9" s="64" customFormat="1" ht="25.5">
      <c r="B60" s="153" t="s">
        <v>5456</v>
      </c>
      <c r="C60" s="548" t="s">
        <v>5364</v>
      </c>
      <c r="D60" s="596" t="s">
        <v>5457</v>
      </c>
      <c r="E60" s="597" t="s">
        <v>309</v>
      </c>
      <c r="F60" s="405">
        <v>1</v>
      </c>
      <c r="G60" s="595"/>
      <c r="H60" s="584"/>
      <c r="I60" s="581"/>
    </row>
    <row r="61" spans="2:9" s="64" customFormat="1" ht="25.5">
      <c r="B61" s="153" t="s">
        <v>5458</v>
      </c>
      <c r="C61" s="548" t="s">
        <v>5364</v>
      </c>
      <c r="D61" s="596" t="s">
        <v>5459</v>
      </c>
      <c r="E61" s="597" t="s">
        <v>309</v>
      </c>
      <c r="F61" s="405">
        <v>1</v>
      </c>
      <c r="G61" s="595"/>
      <c r="H61" s="584"/>
      <c r="I61" s="581"/>
    </row>
    <row r="62" spans="2:9" s="64" customFormat="1">
      <c r="B62" s="153" t="s">
        <v>5460</v>
      </c>
      <c r="C62" s="548" t="s">
        <v>5364</v>
      </c>
      <c r="D62" s="149" t="s">
        <v>5461</v>
      </c>
      <c r="E62" s="130" t="s">
        <v>309</v>
      </c>
      <c r="F62" s="405">
        <v>1</v>
      </c>
      <c r="G62" s="595"/>
      <c r="H62" s="584"/>
      <c r="I62" s="581"/>
    </row>
    <row r="63" spans="2:9" s="64" customFormat="1" ht="13.5" thickBot="1">
      <c r="B63" s="153" t="s">
        <v>5462</v>
      </c>
      <c r="C63" s="548" t="s">
        <v>5364</v>
      </c>
      <c r="D63" s="596" t="s">
        <v>5463</v>
      </c>
      <c r="E63" s="597" t="s">
        <v>309</v>
      </c>
      <c r="F63" s="405">
        <v>1</v>
      </c>
      <c r="G63" s="595"/>
      <c r="H63" s="584"/>
      <c r="I63" s="581"/>
    </row>
    <row r="64" spans="2:9" s="64" customFormat="1" ht="16.5" thickBot="1">
      <c r="B64" s="151" t="s">
        <v>5394</v>
      </c>
      <c r="C64" s="87"/>
      <c r="D64" s="87"/>
      <c r="E64" s="154"/>
      <c r="F64" s="154"/>
      <c r="G64" s="155"/>
      <c r="H64" s="156"/>
      <c r="I64" s="581"/>
    </row>
    <row r="65" spans="2:9" s="64" customFormat="1" ht="25.5">
      <c r="B65" s="153" t="s">
        <v>5464</v>
      </c>
      <c r="C65" s="548" t="s">
        <v>5364</v>
      </c>
      <c r="D65" s="149" t="s">
        <v>5437</v>
      </c>
      <c r="E65" s="130" t="s">
        <v>309</v>
      </c>
      <c r="F65" s="405">
        <v>1</v>
      </c>
      <c r="G65" s="585"/>
      <c r="H65" s="584"/>
      <c r="I65" s="581"/>
    </row>
    <row r="66" spans="2:9" s="64" customFormat="1" ht="25.5">
      <c r="B66" s="153" t="s">
        <v>5465</v>
      </c>
      <c r="C66" s="548" t="s">
        <v>5364</v>
      </c>
      <c r="D66" s="149" t="s">
        <v>5439</v>
      </c>
      <c r="E66" s="130" t="s">
        <v>309</v>
      </c>
      <c r="F66" s="405">
        <v>1</v>
      </c>
      <c r="G66" s="585"/>
      <c r="H66" s="584"/>
      <c r="I66" s="581"/>
    </row>
    <row r="67" spans="2:9" s="64" customFormat="1" ht="25.5">
      <c r="B67" s="153" t="s">
        <v>5466</v>
      </c>
      <c r="C67" s="548" t="s">
        <v>5364</v>
      </c>
      <c r="D67" s="149" t="s">
        <v>5441</v>
      </c>
      <c r="E67" s="130" t="s">
        <v>309</v>
      </c>
      <c r="F67" s="405">
        <v>1</v>
      </c>
      <c r="G67" s="585"/>
      <c r="H67" s="584"/>
      <c r="I67" s="581"/>
    </row>
    <row r="68" spans="2:9" s="64" customFormat="1" ht="25.5">
      <c r="B68" s="153" t="s">
        <v>5467</v>
      </c>
      <c r="C68" s="548" t="s">
        <v>5364</v>
      </c>
      <c r="D68" s="149" t="s">
        <v>5443</v>
      </c>
      <c r="E68" s="130" t="s">
        <v>309</v>
      </c>
      <c r="F68" s="405">
        <v>1</v>
      </c>
      <c r="G68" s="585"/>
      <c r="H68" s="584"/>
      <c r="I68" s="581"/>
    </row>
    <row r="69" spans="2:9" s="64" customFormat="1" ht="25.5">
      <c r="B69" s="153" t="s">
        <v>5468</v>
      </c>
      <c r="C69" s="548" t="s">
        <v>5364</v>
      </c>
      <c r="D69" s="149" t="s">
        <v>5445</v>
      </c>
      <c r="E69" s="130" t="s">
        <v>309</v>
      </c>
      <c r="F69" s="405">
        <v>1</v>
      </c>
      <c r="G69" s="585"/>
      <c r="H69" s="584"/>
      <c r="I69" s="581"/>
    </row>
    <row r="70" spans="2:9" s="64" customFormat="1" ht="25.5">
      <c r="B70" s="153" t="s">
        <v>5469</v>
      </c>
      <c r="C70" s="548" t="s">
        <v>5364</v>
      </c>
      <c r="D70" s="149" t="s">
        <v>5447</v>
      </c>
      <c r="E70" s="130" t="s">
        <v>309</v>
      </c>
      <c r="F70" s="405">
        <v>1</v>
      </c>
      <c r="G70" s="585"/>
      <c r="H70" s="584"/>
      <c r="I70" s="581"/>
    </row>
    <row r="71" spans="2:9" s="64" customFormat="1" ht="25.5">
      <c r="B71" s="153" t="s">
        <v>5470</v>
      </c>
      <c r="C71" s="548" t="s">
        <v>5364</v>
      </c>
      <c r="D71" s="149" t="s">
        <v>5449</v>
      </c>
      <c r="E71" s="130" t="s">
        <v>309</v>
      </c>
      <c r="F71" s="405">
        <v>1</v>
      </c>
      <c r="G71" s="585"/>
      <c r="H71" s="584"/>
      <c r="I71" s="581"/>
    </row>
    <row r="72" spans="2:9" s="64" customFormat="1" ht="25.5">
      <c r="B72" s="153" t="s">
        <v>5471</v>
      </c>
      <c r="C72" s="548" t="s">
        <v>5364</v>
      </c>
      <c r="D72" s="149" t="s">
        <v>5451</v>
      </c>
      <c r="E72" s="130" t="s">
        <v>309</v>
      </c>
      <c r="F72" s="405">
        <v>1</v>
      </c>
      <c r="G72" s="585"/>
      <c r="H72" s="584"/>
      <c r="I72" s="581"/>
    </row>
    <row r="73" spans="2:9" s="64" customFormat="1" ht="25.5">
      <c r="B73" s="153" t="s">
        <v>5472</v>
      </c>
      <c r="C73" s="548" t="s">
        <v>5364</v>
      </c>
      <c r="D73" s="149" t="s">
        <v>5453</v>
      </c>
      <c r="E73" s="130" t="s">
        <v>309</v>
      </c>
      <c r="F73" s="405">
        <v>1</v>
      </c>
      <c r="G73" s="585"/>
      <c r="H73" s="584"/>
      <c r="I73" s="581"/>
    </row>
    <row r="74" spans="2:9" s="64" customFormat="1" ht="25.5">
      <c r="B74" s="153" t="s">
        <v>5473</v>
      </c>
      <c r="C74" s="548" t="s">
        <v>5364</v>
      </c>
      <c r="D74" s="149" t="s">
        <v>5455</v>
      </c>
      <c r="E74" s="130" t="s">
        <v>309</v>
      </c>
      <c r="F74" s="405">
        <v>1</v>
      </c>
      <c r="G74" s="585"/>
      <c r="H74" s="584"/>
      <c r="I74" s="581"/>
    </row>
    <row r="75" spans="2:9" s="64" customFormat="1">
      <c r="B75" s="153" t="s">
        <v>5474</v>
      </c>
      <c r="C75" s="548" t="s">
        <v>5364</v>
      </c>
      <c r="D75" s="149" t="s">
        <v>5475</v>
      </c>
      <c r="E75" s="130" t="s">
        <v>309</v>
      </c>
      <c r="F75" s="465">
        <v>1</v>
      </c>
      <c r="G75" s="585"/>
      <c r="H75" s="584"/>
      <c r="I75" s="581"/>
    </row>
    <row r="76" spans="2:9" s="64" customFormat="1" ht="13.5" thickBot="1">
      <c r="B76" s="153" t="s">
        <v>5476</v>
      </c>
      <c r="C76" s="548" t="s">
        <v>5364</v>
      </c>
      <c r="D76" s="596" t="s">
        <v>5463</v>
      </c>
      <c r="E76" s="597" t="s">
        <v>309</v>
      </c>
      <c r="F76" s="405">
        <v>1</v>
      </c>
      <c r="G76" s="595"/>
      <c r="H76" s="584"/>
      <c r="I76" s="581"/>
    </row>
    <row r="77" spans="2:9" s="64" customFormat="1" ht="16.5" thickBot="1">
      <c r="B77" s="151" t="s">
        <v>5421</v>
      </c>
      <c r="C77" s="87"/>
      <c r="D77" s="87"/>
      <c r="E77" s="154"/>
      <c r="F77" s="154"/>
      <c r="G77" s="155"/>
      <c r="H77" s="156"/>
      <c r="I77" s="581"/>
    </row>
    <row r="78" spans="2:9" s="64" customFormat="1" ht="25.5">
      <c r="B78" s="153" t="s">
        <v>5477</v>
      </c>
      <c r="C78" s="548" t="s">
        <v>5364</v>
      </c>
      <c r="D78" s="149" t="s">
        <v>5437</v>
      </c>
      <c r="E78" s="130" t="s">
        <v>309</v>
      </c>
      <c r="F78" s="405">
        <v>1</v>
      </c>
      <c r="G78" s="593"/>
      <c r="H78" s="584"/>
      <c r="I78" s="581"/>
    </row>
    <row r="79" spans="2:9" s="64" customFormat="1" ht="25.5">
      <c r="B79" s="153" t="s">
        <v>5478</v>
      </c>
      <c r="C79" s="548" t="s">
        <v>5364</v>
      </c>
      <c r="D79" s="149" t="s">
        <v>5439</v>
      </c>
      <c r="E79" s="130" t="s">
        <v>309</v>
      </c>
      <c r="F79" s="405">
        <v>1</v>
      </c>
      <c r="G79" s="593"/>
      <c r="H79" s="584"/>
      <c r="I79" s="581"/>
    </row>
    <row r="80" spans="2:9" s="64" customFormat="1" ht="25.5">
      <c r="B80" s="153" t="s">
        <v>5479</v>
      </c>
      <c r="C80" s="548" t="s">
        <v>5364</v>
      </c>
      <c r="D80" s="149" t="s">
        <v>5441</v>
      </c>
      <c r="E80" s="130" t="s">
        <v>309</v>
      </c>
      <c r="F80" s="405">
        <v>1</v>
      </c>
      <c r="G80" s="593"/>
      <c r="H80" s="584"/>
      <c r="I80" s="581"/>
    </row>
    <row r="81" spans="2:9" s="64" customFormat="1" ht="25.5">
      <c r="B81" s="153" t="s">
        <v>5480</v>
      </c>
      <c r="C81" s="548" t="s">
        <v>5364</v>
      </c>
      <c r="D81" s="149" t="s">
        <v>5443</v>
      </c>
      <c r="E81" s="130" t="s">
        <v>309</v>
      </c>
      <c r="F81" s="405">
        <v>1</v>
      </c>
      <c r="G81" s="593"/>
      <c r="H81" s="584"/>
      <c r="I81" s="581"/>
    </row>
    <row r="82" spans="2:9" s="64" customFormat="1" ht="25.5">
      <c r="B82" s="153" t="s">
        <v>5481</v>
      </c>
      <c r="C82" s="548" t="s">
        <v>5364</v>
      </c>
      <c r="D82" s="149" t="s">
        <v>5445</v>
      </c>
      <c r="E82" s="130" t="s">
        <v>309</v>
      </c>
      <c r="F82" s="405">
        <v>1</v>
      </c>
      <c r="G82" s="593"/>
      <c r="H82" s="584"/>
      <c r="I82" s="581"/>
    </row>
    <row r="83" spans="2:9" s="64" customFormat="1" ht="25.5">
      <c r="B83" s="153" t="s">
        <v>5482</v>
      </c>
      <c r="C83" s="548" t="s">
        <v>5364</v>
      </c>
      <c r="D83" s="149" t="s">
        <v>5447</v>
      </c>
      <c r="E83" s="130" t="s">
        <v>309</v>
      </c>
      <c r="F83" s="405">
        <v>1</v>
      </c>
      <c r="G83" s="593"/>
      <c r="H83" s="584"/>
      <c r="I83" s="581"/>
    </row>
    <row r="84" spans="2:9" s="64" customFormat="1" ht="25.5">
      <c r="B84" s="153" t="s">
        <v>5483</v>
      </c>
      <c r="C84" s="548" t="s">
        <v>5364</v>
      </c>
      <c r="D84" s="149" t="s">
        <v>5449</v>
      </c>
      <c r="E84" s="130" t="s">
        <v>309</v>
      </c>
      <c r="F84" s="405">
        <v>1</v>
      </c>
      <c r="G84" s="593"/>
      <c r="H84" s="584"/>
      <c r="I84" s="581"/>
    </row>
    <row r="85" spans="2:9" s="64" customFormat="1" ht="25.5">
      <c r="B85" s="153" t="s">
        <v>5484</v>
      </c>
      <c r="C85" s="548" t="s">
        <v>5364</v>
      </c>
      <c r="D85" s="149" t="s">
        <v>5451</v>
      </c>
      <c r="E85" s="130" t="s">
        <v>309</v>
      </c>
      <c r="F85" s="405">
        <v>1</v>
      </c>
      <c r="G85" s="593"/>
      <c r="H85" s="584"/>
      <c r="I85" s="581"/>
    </row>
    <row r="86" spans="2:9" s="64" customFormat="1" ht="25.5">
      <c r="B86" s="153" t="s">
        <v>5485</v>
      </c>
      <c r="C86" s="548" t="s">
        <v>5364</v>
      </c>
      <c r="D86" s="149" t="s">
        <v>5453</v>
      </c>
      <c r="E86" s="130" t="s">
        <v>309</v>
      </c>
      <c r="F86" s="405">
        <v>1</v>
      </c>
      <c r="G86" s="593"/>
      <c r="H86" s="584"/>
      <c r="I86" s="581"/>
    </row>
    <row r="87" spans="2:9" s="64" customFormat="1" ht="25.5">
      <c r="B87" s="153" t="s">
        <v>5486</v>
      </c>
      <c r="C87" s="548" t="s">
        <v>5364</v>
      </c>
      <c r="D87" s="149" t="s">
        <v>5455</v>
      </c>
      <c r="E87" s="130" t="s">
        <v>309</v>
      </c>
      <c r="F87" s="405">
        <v>1</v>
      </c>
      <c r="G87" s="593"/>
      <c r="H87" s="584"/>
      <c r="I87" s="581"/>
    </row>
    <row r="88" spans="2:9" s="64" customFormat="1">
      <c r="B88" s="153" t="s">
        <v>5487</v>
      </c>
      <c r="C88" s="548" t="s">
        <v>5364</v>
      </c>
      <c r="D88" s="149" t="s">
        <v>5475</v>
      </c>
      <c r="E88" s="130" t="s">
        <v>309</v>
      </c>
      <c r="F88" s="465">
        <v>1</v>
      </c>
      <c r="G88" s="593"/>
      <c r="H88" s="584"/>
      <c r="I88" s="581"/>
    </row>
    <row r="89" spans="2:9" s="64" customFormat="1">
      <c r="B89" s="153" t="s">
        <v>5488</v>
      </c>
      <c r="C89" s="548" t="s">
        <v>5364</v>
      </c>
      <c r="D89" s="149" t="s">
        <v>5463</v>
      </c>
      <c r="E89" s="130" t="s">
        <v>309</v>
      </c>
      <c r="F89" s="465">
        <v>1</v>
      </c>
      <c r="G89" s="593"/>
      <c r="H89" s="598"/>
      <c r="I89" s="581"/>
    </row>
    <row r="90" spans="2:9" s="64" customFormat="1" ht="5.25" customHeight="1" thickBot="1">
      <c r="B90" s="599"/>
      <c r="C90" s="600"/>
      <c r="D90" s="600"/>
      <c r="E90" s="601"/>
      <c r="F90" s="602"/>
      <c r="G90" s="602"/>
      <c r="H90" s="603"/>
      <c r="I90" s="181"/>
    </row>
    <row r="91" spans="2:9" ht="16.5" thickBot="1">
      <c r="B91" s="90" t="s">
        <v>5489</v>
      </c>
      <c r="C91" s="219"/>
      <c r="D91" s="131"/>
      <c r="E91" s="220"/>
      <c r="F91" s="604"/>
      <c r="G91" s="91"/>
      <c r="H91" s="605"/>
    </row>
    <row r="92" spans="2:9">
      <c r="B92" s="556" t="s">
        <v>4837</v>
      </c>
      <c r="C92" s="557"/>
      <c r="D92" s="557"/>
      <c r="E92" s="557"/>
      <c r="F92" s="557"/>
      <c r="G92" s="92"/>
    </row>
  </sheetData>
  <mergeCells count="1">
    <mergeCell ref="B92:F92"/>
  </mergeCells>
  <pageMargins left="0.62992125984251968" right="0.23622047244094491" top="0.59055118110236227" bottom="0.47244094488188981" header="0.31496062992125984" footer="0.11811023622047245"/>
  <pageSetup paperSize="119" scale="74" fitToHeight="0" orientation="portrait" verticalDpi="1200" r:id="rId1"/>
  <headerFooter>
    <oddFooter>&amp;CPágina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80"/>
  <sheetViews>
    <sheetView zoomScale="85" zoomScaleNormal="85" workbookViewId="0">
      <selection activeCell="B1" sqref="B1"/>
    </sheetView>
  </sheetViews>
  <sheetFormatPr defaultColWidth="9.140625" defaultRowHeight="12.75"/>
  <cols>
    <col min="1" max="1" width="1.140625" style="89" customWidth="1"/>
    <col min="2" max="2" width="9.85546875" style="89" customWidth="1"/>
    <col min="3" max="3" width="5.140625" style="89" bestFit="1" customWidth="1"/>
    <col min="4" max="4" width="70.28515625" style="89" bestFit="1" customWidth="1"/>
    <col min="5" max="5" width="8.5703125" style="89" customWidth="1"/>
    <col min="6" max="6" width="11.7109375" style="89" customWidth="1"/>
    <col min="7" max="8" width="12.5703125" style="89" customWidth="1"/>
    <col min="9" max="9" width="3" style="89" customWidth="1"/>
    <col min="10" max="251" width="11.42578125" style="89" customWidth="1"/>
    <col min="252" max="16384" width="9.140625" style="89"/>
  </cols>
  <sheetData>
    <row r="1" spans="2:8" s="58" customFormat="1">
      <c r="B1" s="71" t="s">
        <v>0</v>
      </c>
      <c r="C1" s="568"/>
      <c r="D1" s="568"/>
      <c r="E1" s="568"/>
      <c r="F1" s="568"/>
      <c r="G1" s="568"/>
      <c r="H1" s="568"/>
    </row>
    <row r="2" spans="2:8" s="58" customFormat="1">
      <c r="B2" s="71" t="s">
        <v>1</v>
      </c>
      <c r="C2" s="568"/>
      <c r="D2" s="568"/>
      <c r="E2" s="568"/>
      <c r="F2" s="568"/>
      <c r="G2" s="568"/>
      <c r="H2" s="568"/>
    </row>
    <row r="3" spans="2:8" s="58" customFormat="1" ht="25.5">
      <c r="B3" s="71" t="str">
        <f>+Resumen!B3</f>
        <v>SDP/00014311/573/2020 - OBRAS CIVILES, INSTALACIONES Y MANTENIMIENTO POSTERIOR - PALACIO DE JUSTICIA DE SALTO DEL GUAIRÁ.</v>
      </c>
      <c r="C3" s="568"/>
      <c r="D3" s="568"/>
      <c r="E3" s="568"/>
      <c r="F3" s="568"/>
      <c r="G3" s="568"/>
      <c r="H3" s="568"/>
    </row>
    <row r="4" spans="2:8" s="58" customFormat="1" ht="5.25" customHeight="1" thickBot="1">
      <c r="B4" s="72"/>
      <c r="C4" s="73"/>
      <c r="D4" s="570"/>
      <c r="E4" s="570"/>
      <c r="F4" s="571"/>
      <c r="G4" s="572"/>
      <c r="H4" s="572"/>
    </row>
    <row r="5" spans="2:8" s="58" customFormat="1" ht="18.75" thickBot="1">
      <c r="B5" s="74" t="s">
        <v>5490</v>
      </c>
      <c r="C5" s="573"/>
      <c r="D5" s="75"/>
      <c r="E5" s="573"/>
      <c r="F5" s="574"/>
      <c r="G5" s="575"/>
      <c r="H5" s="576"/>
    </row>
    <row r="6" spans="2:8" s="58" customFormat="1">
      <c r="B6" s="76" t="s">
        <v>45</v>
      </c>
      <c r="C6" s="77" t="s">
        <v>46</v>
      </c>
      <c r="D6" s="77" t="s">
        <v>47</v>
      </c>
      <c r="E6" s="77" t="s">
        <v>48</v>
      </c>
      <c r="F6" s="78" t="s">
        <v>5361</v>
      </c>
      <c r="G6" s="79" t="s">
        <v>50</v>
      </c>
      <c r="H6" s="80" t="s">
        <v>6</v>
      </c>
    </row>
    <row r="7" spans="2:8" s="58" customFormat="1" ht="13.5" thickBot="1">
      <c r="B7" s="93"/>
      <c r="C7" s="94" t="s">
        <v>51</v>
      </c>
      <c r="D7" s="94"/>
      <c r="E7" s="95"/>
      <c r="F7" s="96"/>
      <c r="G7" s="85" t="s">
        <v>8</v>
      </c>
      <c r="H7" s="86" t="s">
        <v>8</v>
      </c>
    </row>
    <row r="8" spans="2:8" s="124" customFormat="1" ht="15" thickBot="1">
      <c r="B8" s="139" t="s">
        <v>4839</v>
      </c>
      <c r="C8" s="140"/>
      <c r="D8" s="140"/>
      <c r="E8" s="140"/>
      <c r="F8" s="140"/>
      <c r="G8" s="140"/>
      <c r="H8" s="152"/>
    </row>
    <row r="9" spans="2:8" s="64" customFormat="1" ht="15.75">
      <c r="B9" s="162" t="s">
        <v>5491</v>
      </c>
      <c r="C9" s="97"/>
      <c r="D9" s="97"/>
      <c r="E9" s="97"/>
      <c r="F9" s="98"/>
      <c r="G9" s="98"/>
      <c r="H9" s="606"/>
    </row>
    <row r="10" spans="2:8" s="64" customFormat="1" ht="102">
      <c r="B10" s="153" t="s">
        <v>5492</v>
      </c>
      <c r="C10" s="178" t="s">
        <v>5493</v>
      </c>
      <c r="D10" s="465" t="s">
        <v>5494</v>
      </c>
      <c r="E10" s="178" t="s">
        <v>99</v>
      </c>
      <c r="F10" s="582">
        <v>1</v>
      </c>
      <c r="G10" s="525"/>
      <c r="H10" s="607"/>
    </row>
    <row r="11" spans="2:8" s="64" customFormat="1" ht="38.25">
      <c r="B11" s="153" t="s">
        <v>5495</v>
      </c>
      <c r="C11" s="178" t="s">
        <v>5493</v>
      </c>
      <c r="D11" s="587" t="s">
        <v>5496</v>
      </c>
      <c r="E11" s="178" t="s">
        <v>309</v>
      </c>
      <c r="F11" s="582">
        <v>1</v>
      </c>
      <c r="G11" s="583"/>
      <c r="H11" s="598"/>
    </row>
    <row r="12" spans="2:8" s="64" customFormat="1">
      <c r="B12" s="153" t="s">
        <v>5497</v>
      </c>
      <c r="C12" s="178" t="s">
        <v>5493</v>
      </c>
      <c r="D12" s="587" t="s">
        <v>5498</v>
      </c>
      <c r="E12" s="178" t="s">
        <v>99</v>
      </c>
      <c r="F12" s="608">
        <v>2</v>
      </c>
      <c r="G12" s="583"/>
      <c r="H12" s="598"/>
    </row>
    <row r="13" spans="2:8" s="64" customFormat="1">
      <c r="B13" s="153" t="s">
        <v>5499</v>
      </c>
      <c r="C13" s="178" t="s">
        <v>5493</v>
      </c>
      <c r="D13" s="145" t="s">
        <v>5500</v>
      </c>
      <c r="E13" s="178" t="s">
        <v>99</v>
      </c>
      <c r="F13" s="465">
        <v>1</v>
      </c>
      <c r="G13" s="583"/>
      <c r="H13" s="598"/>
    </row>
    <row r="14" spans="2:8" s="64" customFormat="1" ht="25.5">
      <c r="B14" s="153" t="s">
        <v>5501</v>
      </c>
      <c r="C14" s="178" t="s">
        <v>5493</v>
      </c>
      <c r="D14" s="587" t="s">
        <v>5502</v>
      </c>
      <c r="E14" s="178" t="s">
        <v>99</v>
      </c>
      <c r="F14" s="582">
        <v>651</v>
      </c>
      <c r="G14" s="583"/>
      <c r="H14" s="598"/>
    </row>
    <row r="15" spans="2:8" s="64" customFormat="1" ht="25.5">
      <c r="B15" s="153" t="s">
        <v>5503</v>
      </c>
      <c r="C15" s="178" t="s">
        <v>5493</v>
      </c>
      <c r="D15" s="587" t="s">
        <v>5504</v>
      </c>
      <c r="E15" s="178" t="s">
        <v>99</v>
      </c>
      <c r="F15" s="582">
        <v>54</v>
      </c>
      <c r="G15" s="583"/>
      <c r="H15" s="598"/>
    </row>
    <row r="16" spans="2:8" s="64" customFormat="1">
      <c r="B16" s="153" t="s">
        <v>5505</v>
      </c>
      <c r="C16" s="178" t="s">
        <v>5493</v>
      </c>
      <c r="D16" s="587" t="s">
        <v>5506</v>
      </c>
      <c r="E16" s="178" t="s">
        <v>99</v>
      </c>
      <c r="F16" s="582">
        <v>66</v>
      </c>
      <c r="G16" s="583"/>
      <c r="H16" s="598"/>
    </row>
    <row r="17" spans="2:8" s="64" customFormat="1">
      <c r="B17" s="153" t="s">
        <v>5507</v>
      </c>
      <c r="C17" s="178" t="s">
        <v>5493</v>
      </c>
      <c r="D17" s="587" t="s">
        <v>5508</v>
      </c>
      <c r="E17" s="178" t="s">
        <v>99</v>
      </c>
      <c r="F17" s="582">
        <v>1</v>
      </c>
      <c r="G17" s="583"/>
      <c r="H17" s="598"/>
    </row>
    <row r="18" spans="2:8" s="64" customFormat="1" ht="25.5">
      <c r="B18" s="153" t="s">
        <v>5509</v>
      </c>
      <c r="C18" s="178" t="s">
        <v>5493</v>
      </c>
      <c r="D18" s="587" t="s">
        <v>5510</v>
      </c>
      <c r="E18" s="178" t="s">
        <v>99</v>
      </c>
      <c r="F18" s="582">
        <v>66</v>
      </c>
      <c r="G18" s="583"/>
      <c r="H18" s="598"/>
    </row>
    <row r="19" spans="2:8" s="64" customFormat="1" ht="25.5">
      <c r="B19" s="153" t="s">
        <v>5511</v>
      </c>
      <c r="C19" s="178" t="s">
        <v>5493</v>
      </c>
      <c r="D19" s="587" t="s">
        <v>5512</v>
      </c>
      <c r="E19" s="178" t="s">
        <v>99</v>
      </c>
      <c r="F19" s="582">
        <v>178</v>
      </c>
      <c r="G19" s="583"/>
      <c r="H19" s="598"/>
    </row>
    <row r="20" spans="2:8" s="64" customFormat="1" ht="13.5" thickBot="1">
      <c r="B20" s="153" t="s">
        <v>5513</v>
      </c>
      <c r="C20" s="178" t="s">
        <v>5493</v>
      </c>
      <c r="D20" s="587" t="s">
        <v>5514</v>
      </c>
      <c r="E20" s="178" t="s">
        <v>99</v>
      </c>
      <c r="F20" s="582">
        <v>370</v>
      </c>
      <c r="G20" s="583"/>
      <c r="H20" s="598"/>
    </row>
    <row r="21" spans="2:8" s="64" customFormat="1" ht="15.75">
      <c r="B21" s="163" t="s">
        <v>5515</v>
      </c>
      <c r="C21" s="99"/>
      <c r="D21" s="99"/>
      <c r="E21" s="99"/>
      <c r="F21" s="99"/>
      <c r="G21" s="100"/>
      <c r="H21" s="101"/>
    </row>
    <row r="22" spans="2:8" s="64" customFormat="1" ht="25.5">
      <c r="B22" s="165" t="s">
        <v>5516</v>
      </c>
      <c r="C22" s="178" t="s">
        <v>5493</v>
      </c>
      <c r="D22" s="145" t="s">
        <v>5517</v>
      </c>
      <c r="E22" s="178" t="s">
        <v>99</v>
      </c>
      <c r="F22" s="465">
        <v>12</v>
      </c>
      <c r="G22" s="583"/>
      <c r="H22" s="598"/>
    </row>
    <row r="23" spans="2:8" s="64" customFormat="1" ht="25.5">
      <c r="B23" s="165" t="s">
        <v>5518</v>
      </c>
      <c r="C23" s="178" t="s">
        <v>5493</v>
      </c>
      <c r="D23" s="145" t="s">
        <v>5519</v>
      </c>
      <c r="E23" s="178" t="s">
        <v>99</v>
      </c>
      <c r="F23" s="465">
        <v>4</v>
      </c>
      <c r="G23" s="583"/>
      <c r="H23" s="598"/>
    </row>
    <row r="24" spans="2:8" s="64" customFormat="1" ht="76.5">
      <c r="B24" s="165" t="s">
        <v>5520</v>
      </c>
      <c r="C24" s="178" t="s">
        <v>5493</v>
      </c>
      <c r="D24" s="145" t="s">
        <v>5521</v>
      </c>
      <c r="E24" s="178" t="s">
        <v>99</v>
      </c>
      <c r="F24" s="465">
        <v>2</v>
      </c>
      <c r="G24" s="583"/>
      <c r="H24" s="598"/>
    </row>
    <row r="25" spans="2:8" s="64" customFormat="1" ht="38.25">
      <c r="B25" s="165" t="s">
        <v>5522</v>
      </c>
      <c r="C25" s="178" t="s">
        <v>5493</v>
      </c>
      <c r="D25" s="145" t="s">
        <v>5523</v>
      </c>
      <c r="E25" s="178" t="s">
        <v>99</v>
      </c>
      <c r="F25" s="465">
        <v>4</v>
      </c>
      <c r="G25" s="583"/>
      <c r="H25" s="598"/>
    </row>
    <row r="26" spans="2:8" s="64" customFormat="1">
      <c r="B26" s="165" t="s">
        <v>5524</v>
      </c>
      <c r="C26" s="178" t="s">
        <v>5493</v>
      </c>
      <c r="D26" s="145" t="s">
        <v>5525</v>
      </c>
      <c r="E26" s="178" t="s">
        <v>99</v>
      </c>
      <c r="F26" s="465">
        <v>11</v>
      </c>
      <c r="G26" s="583"/>
      <c r="H26" s="598"/>
    </row>
    <row r="27" spans="2:8" s="64" customFormat="1" ht="25.5">
      <c r="B27" s="165" t="s">
        <v>5526</v>
      </c>
      <c r="C27" s="178" t="s">
        <v>5493</v>
      </c>
      <c r="D27" s="145" t="s">
        <v>5527</v>
      </c>
      <c r="E27" s="178" t="s">
        <v>99</v>
      </c>
      <c r="F27" s="465">
        <f>2+4+6</f>
        <v>12</v>
      </c>
      <c r="G27" s="583"/>
      <c r="H27" s="598"/>
    </row>
    <row r="28" spans="2:8" s="64" customFormat="1" ht="114.75">
      <c r="B28" s="165" t="s">
        <v>5528</v>
      </c>
      <c r="C28" s="178" t="s">
        <v>5493</v>
      </c>
      <c r="D28" s="145" t="s">
        <v>5529</v>
      </c>
      <c r="E28" s="178" t="s">
        <v>99</v>
      </c>
      <c r="F28" s="465">
        <v>2</v>
      </c>
      <c r="G28" s="609"/>
      <c r="H28" s="607"/>
    </row>
    <row r="29" spans="2:8" s="64" customFormat="1" ht="76.5">
      <c r="B29" s="165" t="s">
        <v>5530</v>
      </c>
      <c r="C29" s="178" t="s">
        <v>5493</v>
      </c>
      <c r="D29" s="145" t="s">
        <v>5531</v>
      </c>
      <c r="E29" s="178" t="s">
        <v>99</v>
      </c>
      <c r="F29" s="465">
        <v>170</v>
      </c>
      <c r="G29" s="609"/>
      <c r="H29" s="607"/>
    </row>
    <row r="30" spans="2:8" s="64" customFormat="1" ht="63.75">
      <c r="B30" s="165" t="s">
        <v>5532</v>
      </c>
      <c r="C30" s="178" t="s">
        <v>5493</v>
      </c>
      <c r="D30" s="145" t="s">
        <v>5533</v>
      </c>
      <c r="E30" s="178" t="s">
        <v>99</v>
      </c>
      <c r="F30" s="465">
        <v>6</v>
      </c>
      <c r="G30" s="609"/>
      <c r="H30" s="607"/>
    </row>
    <row r="31" spans="2:8" s="64" customFormat="1" ht="63.75">
      <c r="B31" s="165" t="s">
        <v>5534</v>
      </c>
      <c r="C31" s="178" t="s">
        <v>5493</v>
      </c>
      <c r="D31" s="145" t="s">
        <v>5535</v>
      </c>
      <c r="E31" s="178" t="s">
        <v>99</v>
      </c>
      <c r="F31" s="465">
        <v>3</v>
      </c>
      <c r="G31" s="609"/>
      <c r="H31" s="607"/>
    </row>
    <row r="32" spans="2:8" s="64" customFormat="1" ht="25.5">
      <c r="B32" s="165" t="s">
        <v>5536</v>
      </c>
      <c r="C32" s="178" t="s">
        <v>5493</v>
      </c>
      <c r="D32" s="145" t="s">
        <v>5537</v>
      </c>
      <c r="E32" s="178" t="s">
        <v>99</v>
      </c>
      <c r="F32" s="465">
        <v>45</v>
      </c>
      <c r="G32" s="609"/>
      <c r="H32" s="607"/>
    </row>
    <row r="33" spans="2:9" s="64" customFormat="1" ht="13.5" thickBot="1">
      <c r="B33" s="165" t="s">
        <v>5538</v>
      </c>
      <c r="C33" s="178" t="s">
        <v>5493</v>
      </c>
      <c r="D33" s="145" t="s">
        <v>5539</v>
      </c>
      <c r="E33" s="178" t="s">
        <v>99</v>
      </c>
      <c r="F33" s="465">
        <v>6</v>
      </c>
      <c r="G33" s="609"/>
      <c r="H33" s="607"/>
      <c r="I33" s="181"/>
    </row>
    <row r="34" spans="2:9" s="64" customFormat="1" ht="15.75">
      <c r="B34" s="164" t="s">
        <v>5540</v>
      </c>
      <c r="C34" s="102"/>
      <c r="D34" s="102"/>
      <c r="E34" s="102"/>
      <c r="F34" s="102"/>
      <c r="G34" s="103"/>
      <c r="H34" s="104"/>
      <c r="I34" s="181"/>
    </row>
    <row r="35" spans="2:9" s="64" customFormat="1">
      <c r="B35" s="165" t="s">
        <v>5541</v>
      </c>
      <c r="C35" s="146" t="s">
        <v>5493</v>
      </c>
      <c r="D35" s="465" t="s">
        <v>5542</v>
      </c>
      <c r="E35" s="130" t="s">
        <v>99</v>
      </c>
      <c r="F35" s="147">
        <v>3</v>
      </c>
      <c r="G35" s="610"/>
      <c r="H35" s="611"/>
      <c r="I35" s="181"/>
    </row>
    <row r="36" spans="2:9" s="64" customFormat="1">
      <c r="B36" s="165" t="s">
        <v>5543</v>
      </c>
      <c r="C36" s="146" t="s">
        <v>5493</v>
      </c>
      <c r="D36" s="465" t="s">
        <v>5544</v>
      </c>
      <c r="E36" s="130" t="s">
        <v>99</v>
      </c>
      <c r="F36" s="147">
        <v>1</v>
      </c>
      <c r="G36" s="610"/>
      <c r="H36" s="611"/>
      <c r="I36" s="181"/>
    </row>
    <row r="37" spans="2:9" s="64" customFormat="1" ht="38.25">
      <c r="B37" s="165" t="s">
        <v>5545</v>
      </c>
      <c r="C37" s="146" t="s">
        <v>5493</v>
      </c>
      <c r="D37" s="465" t="s">
        <v>5546</v>
      </c>
      <c r="E37" s="130" t="s">
        <v>99</v>
      </c>
      <c r="F37" s="147">
        <v>1</v>
      </c>
      <c r="G37" s="610"/>
      <c r="H37" s="611"/>
      <c r="I37" s="181"/>
    </row>
    <row r="38" spans="2:9" s="64" customFormat="1">
      <c r="B38" s="165" t="s">
        <v>5547</v>
      </c>
      <c r="C38" s="146" t="s">
        <v>5493</v>
      </c>
      <c r="D38" s="149" t="s">
        <v>5548</v>
      </c>
      <c r="E38" s="130" t="s">
        <v>99</v>
      </c>
      <c r="F38" s="147">
        <v>1</v>
      </c>
      <c r="G38" s="610"/>
      <c r="H38" s="611"/>
      <c r="I38" s="181"/>
    </row>
    <row r="39" spans="2:9" s="64" customFormat="1">
      <c r="B39" s="165" t="s">
        <v>5549</v>
      </c>
      <c r="C39" s="146" t="s">
        <v>5493</v>
      </c>
      <c r="D39" s="465" t="s">
        <v>5550</v>
      </c>
      <c r="E39" s="130" t="s">
        <v>99</v>
      </c>
      <c r="F39" s="147">
        <v>1</v>
      </c>
      <c r="G39" s="610"/>
      <c r="H39" s="611"/>
      <c r="I39" s="181"/>
    </row>
    <row r="40" spans="2:9" s="64" customFormat="1" ht="25.5">
      <c r="B40" s="165" t="s">
        <v>5551</v>
      </c>
      <c r="C40" s="146" t="s">
        <v>5493</v>
      </c>
      <c r="D40" s="465" t="s">
        <v>5552</v>
      </c>
      <c r="E40" s="130" t="s">
        <v>99</v>
      </c>
      <c r="F40" s="147">
        <v>2</v>
      </c>
      <c r="G40" s="610"/>
      <c r="H40" s="611"/>
      <c r="I40" s="181"/>
    </row>
    <row r="41" spans="2:9" s="64" customFormat="1" ht="13.5" thickBot="1">
      <c r="B41" s="165" t="s">
        <v>5553</v>
      </c>
      <c r="C41" s="146" t="s">
        <v>5493</v>
      </c>
      <c r="D41" s="465" t="s">
        <v>5554</v>
      </c>
      <c r="E41" s="130" t="s">
        <v>99</v>
      </c>
      <c r="F41" s="147">
        <v>1</v>
      </c>
      <c r="G41" s="610"/>
      <c r="H41" s="611"/>
      <c r="I41" s="181"/>
    </row>
    <row r="42" spans="2:9" s="124" customFormat="1" ht="15" thickBot="1">
      <c r="B42" s="139" t="s">
        <v>4919</v>
      </c>
      <c r="C42" s="140"/>
      <c r="D42" s="140"/>
      <c r="E42" s="159"/>
      <c r="F42" s="159"/>
      <c r="G42" s="159"/>
      <c r="H42" s="160"/>
      <c r="I42" s="161"/>
    </row>
    <row r="43" spans="2:9" s="64" customFormat="1" ht="15.75">
      <c r="B43" s="162" t="s">
        <v>5491</v>
      </c>
      <c r="C43" s="97"/>
      <c r="D43" s="97"/>
      <c r="E43" s="97"/>
      <c r="F43" s="98"/>
      <c r="G43" s="98"/>
      <c r="H43" s="606"/>
      <c r="I43" s="181"/>
    </row>
    <row r="44" spans="2:9" s="64" customFormat="1" ht="25.5">
      <c r="B44" s="153" t="s">
        <v>5555</v>
      </c>
      <c r="C44" s="178" t="s">
        <v>5493</v>
      </c>
      <c r="D44" s="149" t="s">
        <v>5437</v>
      </c>
      <c r="E44" s="130" t="s">
        <v>309</v>
      </c>
      <c r="F44" s="405">
        <v>1</v>
      </c>
      <c r="G44" s="583"/>
      <c r="H44" s="598"/>
      <c r="I44" s="181"/>
    </row>
    <row r="45" spans="2:9" s="64" customFormat="1" ht="25.5">
      <c r="B45" s="153" t="s">
        <v>5556</v>
      </c>
      <c r="C45" s="178" t="s">
        <v>5493</v>
      </c>
      <c r="D45" s="149" t="s">
        <v>5439</v>
      </c>
      <c r="E45" s="130" t="s">
        <v>309</v>
      </c>
      <c r="F45" s="405">
        <v>1</v>
      </c>
      <c r="G45" s="583"/>
      <c r="H45" s="598"/>
      <c r="I45" s="181"/>
    </row>
    <row r="46" spans="2:9" s="64" customFormat="1" ht="25.5">
      <c r="B46" s="153" t="s">
        <v>5557</v>
      </c>
      <c r="C46" s="178" t="s">
        <v>5493</v>
      </c>
      <c r="D46" s="149" t="s">
        <v>5441</v>
      </c>
      <c r="E46" s="130" t="s">
        <v>309</v>
      </c>
      <c r="F46" s="405">
        <v>1</v>
      </c>
      <c r="G46" s="583"/>
      <c r="H46" s="598"/>
      <c r="I46" s="181"/>
    </row>
    <row r="47" spans="2:9" s="64" customFormat="1" ht="25.5">
      <c r="B47" s="153" t="s">
        <v>5558</v>
      </c>
      <c r="C47" s="178" t="s">
        <v>5493</v>
      </c>
      <c r="D47" s="149" t="s">
        <v>5443</v>
      </c>
      <c r="E47" s="130" t="s">
        <v>309</v>
      </c>
      <c r="F47" s="405">
        <v>1</v>
      </c>
      <c r="G47" s="583"/>
      <c r="H47" s="598"/>
      <c r="I47" s="181"/>
    </row>
    <row r="48" spans="2:9" s="64" customFormat="1" ht="25.5">
      <c r="B48" s="153" t="s">
        <v>5559</v>
      </c>
      <c r="C48" s="178" t="s">
        <v>5493</v>
      </c>
      <c r="D48" s="149" t="s">
        <v>5445</v>
      </c>
      <c r="E48" s="130" t="s">
        <v>309</v>
      </c>
      <c r="F48" s="405">
        <v>1</v>
      </c>
      <c r="G48" s="583"/>
      <c r="H48" s="598"/>
      <c r="I48" s="181"/>
    </row>
    <row r="49" spans="2:8" s="64" customFormat="1" ht="25.5">
      <c r="B49" s="153" t="s">
        <v>5560</v>
      </c>
      <c r="C49" s="178" t="s">
        <v>5493</v>
      </c>
      <c r="D49" s="149" t="s">
        <v>5447</v>
      </c>
      <c r="E49" s="130" t="s">
        <v>309</v>
      </c>
      <c r="F49" s="405">
        <v>1</v>
      </c>
      <c r="G49" s="583"/>
      <c r="H49" s="598"/>
    </row>
    <row r="50" spans="2:8" s="64" customFormat="1" ht="25.5">
      <c r="B50" s="153" t="s">
        <v>5561</v>
      </c>
      <c r="C50" s="178" t="s">
        <v>5493</v>
      </c>
      <c r="D50" s="149" t="s">
        <v>5449</v>
      </c>
      <c r="E50" s="130" t="s">
        <v>309</v>
      </c>
      <c r="F50" s="405">
        <v>1</v>
      </c>
      <c r="G50" s="583"/>
      <c r="H50" s="598"/>
    </row>
    <row r="51" spans="2:8" s="64" customFormat="1" ht="25.5">
      <c r="B51" s="153" t="s">
        <v>5562</v>
      </c>
      <c r="C51" s="178" t="s">
        <v>5493</v>
      </c>
      <c r="D51" s="149" t="s">
        <v>5451</v>
      </c>
      <c r="E51" s="130" t="s">
        <v>309</v>
      </c>
      <c r="F51" s="405">
        <v>1</v>
      </c>
      <c r="G51" s="583"/>
      <c r="H51" s="598"/>
    </row>
    <row r="52" spans="2:8" s="64" customFormat="1" ht="25.5">
      <c r="B52" s="153" t="s">
        <v>5563</v>
      </c>
      <c r="C52" s="178" t="s">
        <v>5493</v>
      </c>
      <c r="D52" s="149" t="s">
        <v>5453</v>
      </c>
      <c r="E52" s="130" t="s">
        <v>309</v>
      </c>
      <c r="F52" s="405">
        <v>1</v>
      </c>
      <c r="G52" s="583"/>
      <c r="H52" s="598"/>
    </row>
    <row r="53" spans="2:8" s="64" customFormat="1" ht="25.5">
      <c r="B53" s="153" t="s">
        <v>5564</v>
      </c>
      <c r="C53" s="178" t="s">
        <v>5493</v>
      </c>
      <c r="D53" s="149" t="s">
        <v>5455</v>
      </c>
      <c r="E53" s="130" t="s">
        <v>309</v>
      </c>
      <c r="F53" s="405">
        <v>1</v>
      </c>
      <c r="G53" s="583"/>
      <c r="H53" s="598"/>
    </row>
    <row r="54" spans="2:8" s="64" customFormat="1">
      <c r="B54" s="153" t="s">
        <v>5565</v>
      </c>
      <c r="C54" s="178" t="s">
        <v>5493</v>
      </c>
      <c r="D54" s="587" t="s">
        <v>5475</v>
      </c>
      <c r="E54" s="178" t="s">
        <v>309</v>
      </c>
      <c r="F54" s="465">
        <v>1</v>
      </c>
      <c r="G54" s="585"/>
      <c r="H54" s="598"/>
    </row>
    <row r="55" spans="2:8" s="64" customFormat="1" ht="25.5">
      <c r="B55" s="153" t="s">
        <v>5566</v>
      </c>
      <c r="C55" s="178" t="s">
        <v>5493</v>
      </c>
      <c r="D55" s="587" t="s">
        <v>5567</v>
      </c>
      <c r="E55" s="178" t="s">
        <v>309</v>
      </c>
      <c r="F55" s="582">
        <v>1</v>
      </c>
      <c r="G55" s="585"/>
      <c r="H55" s="598"/>
    </row>
    <row r="56" spans="2:8" s="64" customFormat="1" ht="26.25" thickBot="1">
      <c r="B56" s="153" t="s">
        <v>5568</v>
      </c>
      <c r="C56" s="178" t="s">
        <v>5493</v>
      </c>
      <c r="D56" s="587" t="s">
        <v>5569</v>
      </c>
      <c r="E56" s="178" t="s">
        <v>309</v>
      </c>
      <c r="F56" s="465">
        <v>1</v>
      </c>
      <c r="G56" s="585"/>
      <c r="H56" s="598"/>
    </row>
    <row r="57" spans="2:8" s="64" customFormat="1" ht="15.75">
      <c r="B57" s="162" t="s">
        <v>5515</v>
      </c>
      <c r="C57" s="99"/>
      <c r="D57" s="99"/>
      <c r="E57" s="99"/>
      <c r="F57" s="99"/>
      <c r="G57" s="100"/>
      <c r="H57" s="101"/>
    </row>
    <row r="58" spans="2:8" s="64" customFormat="1" ht="25.5">
      <c r="B58" s="153" t="s">
        <v>5570</v>
      </c>
      <c r="C58" s="178" t="s">
        <v>5493</v>
      </c>
      <c r="D58" s="145" t="s">
        <v>5571</v>
      </c>
      <c r="E58" s="178" t="s">
        <v>99</v>
      </c>
      <c r="F58" s="465">
        <v>3</v>
      </c>
      <c r="G58" s="612"/>
      <c r="H58" s="607"/>
    </row>
    <row r="59" spans="2:8" s="64" customFormat="1" ht="25.5">
      <c r="B59" s="153" t="s">
        <v>5572</v>
      </c>
      <c r="C59" s="178" t="s">
        <v>5493</v>
      </c>
      <c r="D59" s="145" t="s">
        <v>5573</v>
      </c>
      <c r="E59" s="178" t="s">
        <v>99</v>
      </c>
      <c r="F59" s="465">
        <v>1</v>
      </c>
      <c r="G59" s="612"/>
      <c r="H59" s="607"/>
    </row>
    <row r="60" spans="2:8" s="64" customFormat="1" ht="25.5">
      <c r="B60" s="153" t="s">
        <v>5574</v>
      </c>
      <c r="C60" s="178" t="s">
        <v>5493</v>
      </c>
      <c r="D60" s="149" t="s">
        <v>5575</v>
      </c>
      <c r="E60" s="130" t="s">
        <v>309</v>
      </c>
      <c r="F60" s="405">
        <v>1</v>
      </c>
      <c r="G60" s="612"/>
      <c r="H60" s="607"/>
    </row>
    <row r="61" spans="2:8" s="64" customFormat="1" ht="25.5">
      <c r="B61" s="153" t="s">
        <v>5576</v>
      </c>
      <c r="C61" s="178" t="s">
        <v>5493</v>
      </c>
      <c r="D61" s="149" t="s">
        <v>5577</v>
      </c>
      <c r="E61" s="130" t="s">
        <v>309</v>
      </c>
      <c r="F61" s="405">
        <v>1</v>
      </c>
      <c r="G61" s="612"/>
      <c r="H61" s="607"/>
    </row>
    <row r="62" spans="2:8" s="64" customFormat="1" ht="25.5">
      <c r="B62" s="153" t="s">
        <v>5578</v>
      </c>
      <c r="C62" s="178" t="s">
        <v>5493</v>
      </c>
      <c r="D62" s="149" t="s">
        <v>5579</v>
      </c>
      <c r="E62" s="130" t="s">
        <v>309</v>
      </c>
      <c r="F62" s="405">
        <v>1</v>
      </c>
      <c r="G62" s="612"/>
      <c r="H62" s="607"/>
    </row>
    <row r="63" spans="2:8" s="64" customFormat="1" ht="25.5">
      <c r="B63" s="153" t="s">
        <v>5580</v>
      </c>
      <c r="C63" s="178" t="s">
        <v>5493</v>
      </c>
      <c r="D63" s="149" t="s">
        <v>5581</v>
      </c>
      <c r="E63" s="130" t="s">
        <v>309</v>
      </c>
      <c r="F63" s="405">
        <v>1</v>
      </c>
      <c r="G63" s="612"/>
      <c r="H63" s="607"/>
    </row>
    <row r="64" spans="2:8" s="64" customFormat="1" ht="25.5">
      <c r="B64" s="153" t="s">
        <v>5582</v>
      </c>
      <c r="C64" s="178" t="s">
        <v>5493</v>
      </c>
      <c r="D64" s="149" t="s">
        <v>5583</v>
      </c>
      <c r="E64" s="130" t="s">
        <v>309</v>
      </c>
      <c r="F64" s="405">
        <v>1</v>
      </c>
      <c r="G64" s="612"/>
      <c r="H64" s="607"/>
    </row>
    <row r="65" spans="2:8" s="64" customFormat="1" ht="25.5">
      <c r="B65" s="153" t="s">
        <v>5584</v>
      </c>
      <c r="C65" s="178" t="s">
        <v>5493</v>
      </c>
      <c r="D65" s="149" t="s">
        <v>5585</v>
      </c>
      <c r="E65" s="130" t="s">
        <v>309</v>
      </c>
      <c r="F65" s="405">
        <v>1</v>
      </c>
      <c r="G65" s="612"/>
      <c r="H65" s="607"/>
    </row>
    <row r="66" spans="2:8" s="64" customFormat="1" ht="25.5">
      <c r="B66" s="153" t="s">
        <v>5586</v>
      </c>
      <c r="C66" s="178" t="s">
        <v>5493</v>
      </c>
      <c r="D66" s="149" t="s">
        <v>5587</v>
      </c>
      <c r="E66" s="130" t="s">
        <v>309</v>
      </c>
      <c r="F66" s="405">
        <v>1</v>
      </c>
      <c r="G66" s="612"/>
      <c r="H66" s="607"/>
    </row>
    <row r="67" spans="2:8" s="64" customFormat="1" ht="25.5">
      <c r="B67" s="153" t="s">
        <v>5588</v>
      </c>
      <c r="C67" s="178" t="s">
        <v>5493</v>
      </c>
      <c r="D67" s="149" t="s">
        <v>5589</v>
      </c>
      <c r="E67" s="130" t="s">
        <v>309</v>
      </c>
      <c r="F67" s="405">
        <v>1</v>
      </c>
      <c r="G67" s="612"/>
      <c r="H67" s="607"/>
    </row>
    <row r="68" spans="2:8" s="64" customFormat="1" ht="25.5">
      <c r="B68" s="153" t="s">
        <v>5590</v>
      </c>
      <c r="C68" s="178" t="s">
        <v>5493</v>
      </c>
      <c r="D68" s="149" t="s">
        <v>5591</v>
      </c>
      <c r="E68" s="130" t="s">
        <v>309</v>
      </c>
      <c r="F68" s="405">
        <v>1</v>
      </c>
      <c r="G68" s="612"/>
      <c r="H68" s="607"/>
    </row>
    <row r="69" spans="2:8" s="64" customFormat="1" ht="25.5">
      <c r="B69" s="153" t="s">
        <v>5592</v>
      </c>
      <c r="C69" s="178" t="s">
        <v>5493</v>
      </c>
      <c r="D69" s="149" t="s">
        <v>5593</v>
      </c>
      <c r="E69" s="130" t="s">
        <v>309</v>
      </c>
      <c r="F69" s="405">
        <v>1</v>
      </c>
      <c r="G69" s="612"/>
      <c r="H69" s="607"/>
    </row>
    <row r="70" spans="2:8" s="64" customFormat="1">
      <c r="B70" s="153" t="s">
        <v>5594</v>
      </c>
      <c r="C70" s="178" t="s">
        <v>5493</v>
      </c>
      <c r="D70" s="145" t="s">
        <v>5475</v>
      </c>
      <c r="E70" s="178" t="s">
        <v>309</v>
      </c>
      <c r="F70" s="465">
        <v>1</v>
      </c>
      <c r="G70" s="613"/>
      <c r="H70" s="598"/>
    </row>
    <row r="71" spans="2:8" s="64" customFormat="1" ht="25.5">
      <c r="B71" s="153" t="s">
        <v>5595</v>
      </c>
      <c r="C71" s="178" t="s">
        <v>5493</v>
      </c>
      <c r="D71" s="145" t="s">
        <v>5567</v>
      </c>
      <c r="E71" s="178" t="s">
        <v>309</v>
      </c>
      <c r="F71" s="465">
        <v>1</v>
      </c>
      <c r="G71" s="613"/>
      <c r="H71" s="598"/>
    </row>
    <row r="72" spans="2:8" s="64" customFormat="1" ht="13.5" thickBot="1">
      <c r="B72" s="153" t="s">
        <v>5596</v>
      </c>
      <c r="C72" s="178" t="s">
        <v>5493</v>
      </c>
      <c r="D72" s="145" t="s">
        <v>5597</v>
      </c>
      <c r="E72" s="178" t="s">
        <v>309</v>
      </c>
      <c r="F72" s="465">
        <v>1</v>
      </c>
      <c r="G72" s="613"/>
      <c r="H72" s="598"/>
    </row>
    <row r="73" spans="2:8" s="64" customFormat="1" ht="15.75">
      <c r="B73" s="164" t="s">
        <v>5540</v>
      </c>
      <c r="C73" s="102"/>
      <c r="D73" s="102"/>
      <c r="E73" s="102"/>
      <c r="F73" s="102"/>
      <c r="G73" s="103"/>
      <c r="H73" s="104"/>
    </row>
    <row r="74" spans="2:8" s="64" customFormat="1" ht="25.5">
      <c r="B74" s="165" t="s">
        <v>5598</v>
      </c>
      <c r="C74" s="146" t="s">
        <v>5493</v>
      </c>
      <c r="D74" s="465" t="s">
        <v>5599</v>
      </c>
      <c r="E74" s="130" t="s">
        <v>309</v>
      </c>
      <c r="F74" s="147">
        <v>1</v>
      </c>
      <c r="G74" s="610"/>
      <c r="H74" s="611"/>
    </row>
    <row r="75" spans="2:8" s="64" customFormat="1" ht="25.5">
      <c r="B75" s="165" t="s">
        <v>5600</v>
      </c>
      <c r="C75" s="146" t="s">
        <v>5493</v>
      </c>
      <c r="D75" s="465" t="s">
        <v>5601</v>
      </c>
      <c r="E75" s="130" t="s">
        <v>309</v>
      </c>
      <c r="F75" s="147">
        <v>1</v>
      </c>
      <c r="G75" s="610"/>
      <c r="H75" s="611"/>
    </row>
    <row r="76" spans="2:8" s="64" customFormat="1">
      <c r="B76" s="165" t="s">
        <v>5602</v>
      </c>
      <c r="C76" s="146" t="s">
        <v>5493</v>
      </c>
      <c r="D76" s="149" t="s">
        <v>5475</v>
      </c>
      <c r="E76" s="130" t="s">
        <v>309</v>
      </c>
      <c r="F76" s="147">
        <v>1</v>
      </c>
      <c r="G76" s="610"/>
      <c r="H76" s="611"/>
    </row>
    <row r="77" spans="2:8" s="64" customFormat="1">
      <c r="B77" s="165" t="s">
        <v>5603</v>
      </c>
      <c r="C77" s="146" t="s">
        <v>5493</v>
      </c>
      <c r="D77" s="465" t="s">
        <v>5604</v>
      </c>
      <c r="E77" s="130" t="s">
        <v>309</v>
      </c>
      <c r="F77" s="147">
        <v>1</v>
      </c>
      <c r="G77" s="610"/>
      <c r="H77" s="611"/>
    </row>
    <row r="78" spans="2:8" ht="5.25" customHeight="1" thickBot="1">
      <c r="B78" s="105"/>
      <c r="C78" s="106"/>
      <c r="D78" s="106"/>
      <c r="E78" s="106"/>
      <c r="F78" s="106"/>
      <c r="G78" s="106"/>
      <c r="H78" s="107"/>
    </row>
    <row r="79" spans="2:8" ht="16.5" thickBot="1">
      <c r="B79" s="90" t="s">
        <v>5605</v>
      </c>
      <c r="C79" s="219"/>
      <c r="D79" s="131"/>
      <c r="E79" s="220"/>
      <c r="F79" s="604"/>
      <c r="G79" s="108"/>
      <c r="H79" s="605"/>
    </row>
    <row r="80" spans="2:8">
      <c r="B80" s="556" t="s">
        <v>4837</v>
      </c>
      <c r="C80" s="557"/>
      <c r="D80" s="557"/>
      <c r="E80" s="557"/>
      <c r="F80" s="557"/>
      <c r="H80" s="92"/>
    </row>
  </sheetData>
  <mergeCells count="1">
    <mergeCell ref="B80:F80"/>
  </mergeCells>
  <printOptions horizontalCentered="1"/>
  <pageMargins left="0.62992125984251968" right="0.23622047244094491" top="0.59055118110236227" bottom="0.47244094488188981" header="0.31496062992125984" footer="0.19685039370078741"/>
  <pageSetup paperSize="119" scale="74" fitToHeight="0" orientation="portrait" verticalDpi="1200" r:id="rId1"/>
  <headerFooter>
    <oddFooter>&amp;CPágina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78"/>
  <sheetViews>
    <sheetView workbookViewId="0">
      <selection activeCell="D14" sqref="D14"/>
    </sheetView>
  </sheetViews>
  <sheetFormatPr defaultColWidth="9.140625" defaultRowHeight="12.75"/>
  <cols>
    <col min="1" max="1" width="1.140625" style="89" customWidth="1"/>
    <col min="2" max="2" width="10.28515625" style="89" customWidth="1"/>
    <col min="3" max="3" width="5.140625" style="89" bestFit="1" customWidth="1"/>
    <col min="4" max="4" width="70.28515625" style="89" bestFit="1" customWidth="1"/>
    <col min="5" max="5" width="8.5703125" style="89" customWidth="1"/>
    <col min="6" max="6" width="11.7109375" style="89" customWidth="1"/>
    <col min="7" max="8" width="12.5703125" style="89" customWidth="1"/>
    <col min="9" max="9" width="3.42578125" style="89" customWidth="1"/>
    <col min="10" max="251" width="11.42578125" style="89" customWidth="1"/>
    <col min="252" max="16384" width="9.140625" style="89"/>
  </cols>
  <sheetData>
    <row r="1" spans="2:8" s="58" customFormat="1">
      <c r="B1" s="71" t="s">
        <v>0</v>
      </c>
      <c r="C1" s="568"/>
      <c r="D1" s="568"/>
      <c r="E1" s="568"/>
      <c r="F1" s="568"/>
      <c r="G1" s="568"/>
      <c r="H1" s="568"/>
    </row>
    <row r="2" spans="2:8" s="58" customFormat="1">
      <c r="B2" s="71" t="s">
        <v>1</v>
      </c>
      <c r="C2" s="568"/>
      <c r="D2" s="568"/>
      <c r="E2" s="568"/>
      <c r="F2" s="568"/>
      <c r="G2" s="568"/>
      <c r="H2" s="568"/>
    </row>
    <row r="3" spans="2:8" s="58" customFormat="1">
      <c r="B3" s="71" t="str">
        <f>+Resumen!B3</f>
        <v>SDP/00014311/573/2020 - OBRAS CIVILES, INSTALACIONES Y MANTENIMIENTO POSTERIOR - PALACIO DE JUSTICIA DE SALTO DEL GUAIRÁ.</v>
      </c>
      <c r="C3" s="568"/>
      <c r="D3" s="568"/>
      <c r="E3" s="568"/>
      <c r="F3" s="568"/>
      <c r="G3" s="568"/>
      <c r="H3" s="568"/>
    </row>
    <row r="4" spans="2:8" s="58" customFormat="1" ht="5.25" customHeight="1" thickBot="1">
      <c r="B4" s="72"/>
      <c r="C4" s="73"/>
      <c r="D4" s="570"/>
      <c r="E4" s="570"/>
      <c r="F4" s="571"/>
      <c r="G4" s="572"/>
      <c r="H4" s="572"/>
    </row>
    <row r="5" spans="2:8" s="58" customFormat="1" ht="18.75" thickBot="1">
      <c r="B5" s="74" t="s">
        <v>5606</v>
      </c>
      <c r="C5" s="573"/>
      <c r="D5" s="75"/>
      <c r="E5" s="573"/>
      <c r="F5" s="574"/>
      <c r="G5" s="575"/>
      <c r="H5" s="576"/>
    </row>
    <row r="6" spans="2:8" s="58" customFormat="1">
      <c r="B6" s="76" t="s">
        <v>45</v>
      </c>
      <c r="C6" s="77" t="s">
        <v>46</v>
      </c>
      <c r="D6" s="77" t="s">
        <v>47</v>
      </c>
      <c r="E6" s="77" t="s">
        <v>48</v>
      </c>
      <c r="F6" s="78" t="s">
        <v>5361</v>
      </c>
      <c r="G6" s="79" t="s">
        <v>50</v>
      </c>
      <c r="H6" s="80" t="s">
        <v>6</v>
      </c>
    </row>
    <row r="7" spans="2:8" s="58" customFormat="1" ht="13.5" thickBot="1">
      <c r="B7" s="93"/>
      <c r="C7" s="94" t="s">
        <v>51</v>
      </c>
      <c r="D7" s="94"/>
      <c r="E7" s="95"/>
      <c r="F7" s="96"/>
      <c r="G7" s="109" t="s">
        <v>8</v>
      </c>
      <c r="H7" s="110" t="s">
        <v>8</v>
      </c>
    </row>
    <row r="8" spans="2:8" s="124" customFormat="1" ht="15" thickBot="1">
      <c r="B8" s="139" t="s">
        <v>4839</v>
      </c>
      <c r="C8" s="140"/>
      <c r="D8" s="140"/>
      <c r="E8" s="140"/>
      <c r="F8" s="140"/>
      <c r="G8" s="140"/>
      <c r="H8" s="152"/>
    </row>
    <row r="9" spans="2:8" s="64" customFormat="1" ht="16.5" thickBot="1">
      <c r="B9" s="166" t="s">
        <v>5607</v>
      </c>
      <c r="C9" s="111"/>
      <c r="D9" s="111"/>
      <c r="E9" s="111"/>
      <c r="F9" s="111"/>
      <c r="G9" s="111"/>
      <c r="H9" s="614"/>
    </row>
    <row r="10" spans="2:8" s="64" customFormat="1" ht="25.5">
      <c r="B10" s="153" t="s">
        <v>5608</v>
      </c>
      <c r="C10" s="588" t="s">
        <v>5609</v>
      </c>
      <c r="D10" s="144" t="s">
        <v>5610</v>
      </c>
      <c r="E10" s="589" t="s">
        <v>99</v>
      </c>
      <c r="F10" s="615">
        <v>6</v>
      </c>
      <c r="G10" s="616"/>
      <c r="H10" s="617"/>
    </row>
    <row r="11" spans="2:8" s="64" customFormat="1" ht="63.75">
      <c r="B11" s="153" t="s">
        <v>5611</v>
      </c>
      <c r="C11" s="588" t="s">
        <v>5609</v>
      </c>
      <c r="D11" s="465" t="s">
        <v>5612</v>
      </c>
      <c r="E11" s="130" t="s">
        <v>99</v>
      </c>
      <c r="F11" s="147">
        <v>1</v>
      </c>
      <c r="G11" s="618"/>
      <c r="H11" s="619"/>
    </row>
    <row r="12" spans="2:8" s="64" customFormat="1" ht="25.5">
      <c r="B12" s="153" t="s">
        <v>5613</v>
      </c>
      <c r="C12" s="588" t="s">
        <v>5609</v>
      </c>
      <c r="D12" s="465" t="s">
        <v>5614</v>
      </c>
      <c r="E12" s="130" t="s">
        <v>99</v>
      </c>
      <c r="F12" s="147">
        <v>156</v>
      </c>
      <c r="G12" s="618"/>
      <c r="H12" s="619"/>
    </row>
    <row r="13" spans="2:8" s="64" customFormat="1" ht="25.5">
      <c r="B13" s="153" t="s">
        <v>5615</v>
      </c>
      <c r="C13" s="588" t="s">
        <v>5609</v>
      </c>
      <c r="D13" s="465" t="s">
        <v>5616</v>
      </c>
      <c r="E13" s="130" t="s">
        <v>99</v>
      </c>
      <c r="F13" s="147">
        <v>32</v>
      </c>
      <c r="G13" s="618"/>
      <c r="H13" s="619"/>
    </row>
    <row r="14" spans="2:8" s="64" customFormat="1">
      <c r="B14" s="153" t="s">
        <v>5617</v>
      </c>
      <c r="C14" s="588" t="s">
        <v>5609</v>
      </c>
      <c r="D14" s="465" t="s">
        <v>5618</v>
      </c>
      <c r="E14" s="130" t="s">
        <v>99</v>
      </c>
      <c r="F14" s="147">
        <v>1</v>
      </c>
      <c r="G14" s="618"/>
      <c r="H14" s="619"/>
    </row>
    <row r="15" spans="2:8" s="64" customFormat="1" ht="38.25">
      <c r="B15" s="153" t="s">
        <v>5619</v>
      </c>
      <c r="C15" s="588" t="s">
        <v>5609</v>
      </c>
      <c r="D15" s="465" t="s">
        <v>5620</v>
      </c>
      <c r="E15" s="130" t="s">
        <v>99</v>
      </c>
      <c r="F15" s="147">
        <v>2</v>
      </c>
      <c r="G15" s="618"/>
      <c r="H15" s="619"/>
    </row>
    <row r="16" spans="2:8" s="64" customFormat="1" ht="13.5" thickBot="1">
      <c r="B16" s="153" t="s">
        <v>5621</v>
      </c>
      <c r="C16" s="588" t="s">
        <v>5609</v>
      </c>
      <c r="D16" s="465" t="s">
        <v>5622</v>
      </c>
      <c r="E16" s="130" t="s">
        <v>99</v>
      </c>
      <c r="F16" s="147">
        <v>32</v>
      </c>
      <c r="G16" s="618"/>
      <c r="H16" s="619"/>
    </row>
    <row r="17" spans="2:8" s="64" customFormat="1" ht="16.5" thickBot="1">
      <c r="B17" s="166" t="s">
        <v>5623</v>
      </c>
      <c r="C17" s="111"/>
      <c r="D17" s="111"/>
      <c r="E17" s="111"/>
      <c r="F17" s="168"/>
      <c r="G17" s="111"/>
      <c r="H17" s="169"/>
    </row>
    <row r="18" spans="2:8" s="64" customFormat="1" ht="25.5">
      <c r="B18" s="153" t="s">
        <v>5624</v>
      </c>
      <c r="C18" s="588" t="s">
        <v>5609</v>
      </c>
      <c r="D18" s="144" t="s">
        <v>5625</v>
      </c>
      <c r="E18" s="589" t="s">
        <v>99</v>
      </c>
      <c r="F18" s="615">
        <v>3</v>
      </c>
      <c r="G18" s="616"/>
      <c r="H18" s="617"/>
    </row>
    <row r="19" spans="2:8" s="64" customFormat="1" ht="25.5">
      <c r="B19" s="153" t="s">
        <v>5626</v>
      </c>
      <c r="C19" s="588" t="s">
        <v>5609</v>
      </c>
      <c r="D19" s="465" t="s">
        <v>5627</v>
      </c>
      <c r="E19" s="130" t="s">
        <v>99</v>
      </c>
      <c r="F19" s="147">
        <v>3</v>
      </c>
      <c r="G19" s="618"/>
      <c r="H19" s="619"/>
    </row>
    <row r="20" spans="2:8" s="64" customFormat="1">
      <c r="B20" s="153" t="s">
        <v>5628</v>
      </c>
      <c r="C20" s="588" t="s">
        <v>5609</v>
      </c>
      <c r="D20" s="465" t="s">
        <v>5629</v>
      </c>
      <c r="E20" s="130" t="s">
        <v>99</v>
      </c>
      <c r="F20" s="147">
        <f>6*3</f>
        <v>18</v>
      </c>
      <c r="G20" s="618"/>
      <c r="H20" s="619"/>
    </row>
    <row r="21" spans="2:8" s="64" customFormat="1">
      <c r="B21" s="153" t="s">
        <v>5630</v>
      </c>
      <c r="C21" s="588" t="s">
        <v>5609</v>
      </c>
      <c r="D21" s="465" t="s">
        <v>5631</v>
      </c>
      <c r="E21" s="130" t="s">
        <v>99</v>
      </c>
      <c r="F21" s="147">
        <v>3</v>
      </c>
      <c r="G21" s="618"/>
      <c r="H21" s="619"/>
    </row>
    <row r="22" spans="2:8" s="64" customFormat="1" ht="25.5">
      <c r="B22" s="153" t="s">
        <v>5632</v>
      </c>
      <c r="C22" s="588" t="s">
        <v>5609</v>
      </c>
      <c r="D22" s="465" t="s">
        <v>5633</v>
      </c>
      <c r="E22" s="130" t="s">
        <v>99</v>
      </c>
      <c r="F22" s="147">
        <v>15</v>
      </c>
      <c r="G22" s="618"/>
      <c r="H22" s="619"/>
    </row>
    <row r="23" spans="2:8" s="64" customFormat="1" ht="13.5" thickBot="1">
      <c r="B23" s="153" t="s">
        <v>5634</v>
      </c>
      <c r="C23" s="588" t="s">
        <v>5609</v>
      </c>
      <c r="D23" s="465" t="s">
        <v>5635</v>
      </c>
      <c r="E23" s="130" t="s">
        <v>99</v>
      </c>
      <c r="F23" s="147">
        <v>3</v>
      </c>
      <c r="G23" s="618"/>
      <c r="H23" s="619"/>
    </row>
    <row r="24" spans="2:8" s="64" customFormat="1" ht="16.5" thickBot="1">
      <c r="B24" s="166" t="s">
        <v>5636</v>
      </c>
      <c r="C24" s="111"/>
      <c r="D24" s="111"/>
      <c r="E24" s="111"/>
      <c r="F24" s="168"/>
      <c r="G24" s="111"/>
      <c r="H24" s="169"/>
    </row>
    <row r="25" spans="2:8" s="64" customFormat="1">
      <c r="B25" s="153" t="s">
        <v>5637</v>
      </c>
      <c r="C25" s="588" t="s">
        <v>5609</v>
      </c>
      <c r="D25" s="465" t="s">
        <v>5638</v>
      </c>
      <c r="E25" s="130" t="s">
        <v>99</v>
      </c>
      <c r="F25" s="147">
        <v>1</v>
      </c>
      <c r="G25" s="618"/>
      <c r="H25" s="619"/>
    </row>
    <row r="26" spans="2:8" s="64" customFormat="1">
      <c r="B26" s="153" t="s">
        <v>5639</v>
      </c>
      <c r="C26" s="588" t="s">
        <v>5609</v>
      </c>
      <c r="D26" s="465" t="s">
        <v>5640</v>
      </c>
      <c r="E26" s="130" t="s">
        <v>99</v>
      </c>
      <c r="F26" s="147">
        <v>1</v>
      </c>
      <c r="G26" s="618"/>
      <c r="H26" s="619"/>
    </row>
    <row r="27" spans="2:8" s="64" customFormat="1" ht="25.5">
      <c r="B27" s="153" t="s">
        <v>5641</v>
      </c>
      <c r="C27" s="588" t="s">
        <v>5609</v>
      </c>
      <c r="D27" s="465" t="s">
        <v>5642</v>
      </c>
      <c r="E27" s="130" t="s">
        <v>99</v>
      </c>
      <c r="F27" s="147">
        <v>4</v>
      </c>
      <c r="G27" s="618"/>
      <c r="H27" s="619"/>
    </row>
    <row r="28" spans="2:8" s="64" customFormat="1">
      <c r="B28" s="153" t="s">
        <v>5643</v>
      </c>
      <c r="C28" s="588" t="s">
        <v>5609</v>
      </c>
      <c r="D28" s="465" t="s">
        <v>5644</v>
      </c>
      <c r="E28" s="130" t="s">
        <v>99</v>
      </c>
      <c r="F28" s="147">
        <v>2</v>
      </c>
      <c r="G28" s="618"/>
      <c r="H28" s="619"/>
    </row>
    <row r="29" spans="2:8" s="64" customFormat="1" ht="25.5">
      <c r="B29" s="153" t="s">
        <v>5645</v>
      </c>
      <c r="C29" s="588" t="s">
        <v>5609</v>
      </c>
      <c r="D29" s="465" t="s">
        <v>5646</v>
      </c>
      <c r="E29" s="130" t="s">
        <v>99</v>
      </c>
      <c r="F29" s="147">
        <v>2</v>
      </c>
      <c r="G29" s="618"/>
      <c r="H29" s="619"/>
    </row>
    <row r="30" spans="2:8" s="64" customFormat="1">
      <c r="B30" s="153" t="s">
        <v>5647</v>
      </c>
      <c r="C30" s="588" t="s">
        <v>5609</v>
      </c>
      <c r="D30" s="465" t="s">
        <v>5631</v>
      </c>
      <c r="E30" s="130" t="s">
        <v>99</v>
      </c>
      <c r="F30" s="147">
        <v>2</v>
      </c>
      <c r="G30" s="618"/>
      <c r="H30" s="619"/>
    </row>
    <row r="31" spans="2:8" s="64" customFormat="1" ht="25.5">
      <c r="B31" s="153" t="s">
        <v>5648</v>
      </c>
      <c r="C31" s="588" t="s">
        <v>5609</v>
      </c>
      <c r="D31" s="465" t="s">
        <v>5633</v>
      </c>
      <c r="E31" s="130" t="s">
        <v>99</v>
      </c>
      <c r="F31" s="147">
        <v>3</v>
      </c>
      <c r="G31" s="618"/>
      <c r="H31" s="619"/>
    </row>
    <row r="32" spans="2:8" s="64" customFormat="1">
      <c r="B32" s="153" t="s">
        <v>5649</v>
      </c>
      <c r="C32" s="588" t="s">
        <v>5609</v>
      </c>
      <c r="D32" s="465" t="s">
        <v>5650</v>
      </c>
      <c r="E32" s="130" t="s">
        <v>99</v>
      </c>
      <c r="F32" s="144">
        <v>1</v>
      </c>
      <c r="G32" s="618"/>
      <c r="H32" s="619"/>
    </row>
    <row r="33" spans="2:9" s="64" customFormat="1" ht="25.5">
      <c r="B33" s="153" t="s">
        <v>5651</v>
      </c>
      <c r="C33" s="588" t="s">
        <v>5609</v>
      </c>
      <c r="D33" s="465" t="s">
        <v>5652</v>
      </c>
      <c r="E33" s="130" t="s">
        <v>99</v>
      </c>
      <c r="F33" s="144">
        <v>1</v>
      </c>
      <c r="G33" s="618"/>
      <c r="H33" s="619"/>
      <c r="I33" s="181"/>
    </row>
    <row r="34" spans="2:9" s="64" customFormat="1" ht="25.5">
      <c r="B34" s="153" t="s">
        <v>5653</v>
      </c>
      <c r="C34" s="588" t="s">
        <v>5609</v>
      </c>
      <c r="D34" s="465" t="s">
        <v>5654</v>
      </c>
      <c r="E34" s="130" t="s">
        <v>99</v>
      </c>
      <c r="F34" s="144">
        <v>4</v>
      </c>
      <c r="G34" s="618"/>
      <c r="H34" s="619"/>
      <c r="I34" s="181"/>
    </row>
    <row r="35" spans="2:9" s="64" customFormat="1" ht="25.5">
      <c r="B35" s="153" t="s">
        <v>5655</v>
      </c>
      <c r="C35" s="588" t="s">
        <v>5609</v>
      </c>
      <c r="D35" s="465" t="s">
        <v>5656</v>
      </c>
      <c r="E35" s="130" t="s">
        <v>99</v>
      </c>
      <c r="F35" s="144">
        <v>150</v>
      </c>
      <c r="G35" s="618"/>
      <c r="H35" s="619"/>
      <c r="I35" s="181"/>
    </row>
    <row r="36" spans="2:9" s="64" customFormat="1">
      <c r="B36" s="153" t="s">
        <v>5657</v>
      </c>
      <c r="C36" s="588" t="s">
        <v>5609</v>
      </c>
      <c r="D36" s="465" t="s">
        <v>5658</v>
      </c>
      <c r="E36" s="130" t="s">
        <v>99</v>
      </c>
      <c r="F36" s="144">
        <v>4</v>
      </c>
      <c r="G36" s="618"/>
      <c r="H36" s="619"/>
      <c r="I36" s="181"/>
    </row>
    <row r="37" spans="2:9" s="64" customFormat="1" ht="25.5">
      <c r="B37" s="153" t="s">
        <v>5659</v>
      </c>
      <c r="C37" s="588" t="s">
        <v>5609</v>
      </c>
      <c r="D37" s="465" t="s">
        <v>5660</v>
      </c>
      <c r="E37" s="130" t="s">
        <v>99</v>
      </c>
      <c r="F37" s="144">
        <v>2</v>
      </c>
      <c r="G37" s="618"/>
      <c r="H37" s="619"/>
      <c r="I37" s="181"/>
    </row>
    <row r="38" spans="2:9" s="64" customFormat="1" ht="25.5">
      <c r="B38" s="153" t="s">
        <v>5661</v>
      </c>
      <c r="C38" s="588" t="s">
        <v>5609</v>
      </c>
      <c r="D38" s="465" t="s">
        <v>5662</v>
      </c>
      <c r="E38" s="130" t="s">
        <v>99</v>
      </c>
      <c r="F38" s="144">
        <v>1</v>
      </c>
      <c r="G38" s="618"/>
      <c r="H38" s="619"/>
      <c r="I38" s="181"/>
    </row>
    <row r="39" spans="2:9" s="64" customFormat="1" ht="51.75" thickBot="1">
      <c r="B39" s="153" t="s">
        <v>5663</v>
      </c>
      <c r="C39" s="588" t="s">
        <v>5609</v>
      </c>
      <c r="D39" s="465" t="s">
        <v>5664</v>
      </c>
      <c r="E39" s="130" t="s">
        <v>99</v>
      </c>
      <c r="F39" s="144">
        <v>1</v>
      </c>
      <c r="G39" s="618"/>
      <c r="H39" s="619"/>
      <c r="I39" s="181"/>
    </row>
    <row r="40" spans="2:9" s="64" customFormat="1" ht="16.5" thickBot="1">
      <c r="B40" s="166" t="s">
        <v>5665</v>
      </c>
      <c r="C40" s="111"/>
      <c r="D40" s="111"/>
      <c r="E40" s="111"/>
      <c r="F40" s="168"/>
      <c r="G40" s="111"/>
      <c r="H40" s="169"/>
      <c r="I40" s="181"/>
    </row>
    <row r="41" spans="2:9" s="64" customFormat="1">
      <c r="B41" s="153" t="s">
        <v>5666</v>
      </c>
      <c r="C41" s="588" t="s">
        <v>5609</v>
      </c>
      <c r="D41" s="465" t="s">
        <v>5667</v>
      </c>
      <c r="E41" s="130" t="s">
        <v>99</v>
      </c>
      <c r="F41" s="147">
        <v>1</v>
      </c>
      <c r="G41" s="618"/>
      <c r="H41" s="619"/>
      <c r="I41" s="181"/>
    </row>
    <row r="42" spans="2:9" s="64" customFormat="1">
      <c r="B42" s="153" t="s">
        <v>5668</v>
      </c>
      <c r="C42" s="588" t="s">
        <v>5609</v>
      </c>
      <c r="D42" s="465" t="s">
        <v>5669</v>
      </c>
      <c r="E42" s="130" t="s">
        <v>99</v>
      </c>
      <c r="F42" s="147">
        <v>1</v>
      </c>
      <c r="G42" s="618"/>
      <c r="H42" s="619"/>
      <c r="I42" s="181"/>
    </row>
    <row r="43" spans="2:9" s="64" customFormat="1">
      <c r="B43" s="153" t="s">
        <v>5670</v>
      </c>
      <c r="C43" s="588" t="s">
        <v>5609</v>
      </c>
      <c r="D43" s="465" t="s">
        <v>5671</v>
      </c>
      <c r="E43" s="130" t="s">
        <v>99</v>
      </c>
      <c r="F43" s="147">
        <v>2</v>
      </c>
      <c r="G43" s="618"/>
      <c r="H43" s="619"/>
      <c r="I43" s="181"/>
    </row>
    <row r="44" spans="2:9" s="64" customFormat="1">
      <c r="B44" s="153" t="s">
        <v>5672</v>
      </c>
      <c r="C44" s="588" t="s">
        <v>5609</v>
      </c>
      <c r="D44" s="465" t="s">
        <v>5673</v>
      </c>
      <c r="E44" s="130" t="s">
        <v>99</v>
      </c>
      <c r="F44" s="147">
        <v>1</v>
      </c>
      <c r="G44" s="618"/>
      <c r="H44" s="619"/>
      <c r="I44" s="181"/>
    </row>
    <row r="45" spans="2:9" s="64" customFormat="1" ht="25.5">
      <c r="B45" s="153" t="s">
        <v>5674</v>
      </c>
      <c r="C45" s="588" t="s">
        <v>5609</v>
      </c>
      <c r="D45" s="465" t="s">
        <v>5675</v>
      </c>
      <c r="E45" s="130" t="s">
        <v>99</v>
      </c>
      <c r="F45" s="147">
        <v>1</v>
      </c>
      <c r="G45" s="618"/>
      <c r="H45" s="619"/>
      <c r="I45" s="181"/>
    </row>
    <row r="46" spans="2:9" s="64" customFormat="1" ht="13.5" thickBot="1">
      <c r="B46" s="153" t="s">
        <v>5676</v>
      </c>
      <c r="C46" s="588" t="s">
        <v>5609</v>
      </c>
      <c r="D46" s="465" t="s">
        <v>5677</v>
      </c>
      <c r="E46" s="130" t="s">
        <v>99</v>
      </c>
      <c r="F46" s="147">
        <v>2</v>
      </c>
      <c r="G46" s="618"/>
      <c r="H46" s="619"/>
      <c r="I46" s="181"/>
    </row>
    <row r="47" spans="2:9" s="124" customFormat="1" ht="15" thickBot="1">
      <c r="B47" s="139" t="s">
        <v>4919</v>
      </c>
      <c r="C47" s="140"/>
      <c r="D47" s="140"/>
      <c r="E47" s="159"/>
      <c r="F47" s="159"/>
      <c r="G47" s="159"/>
      <c r="H47" s="160"/>
      <c r="I47" s="161"/>
    </row>
    <row r="48" spans="2:9" s="64" customFormat="1" ht="15.75">
      <c r="B48" s="167" t="s">
        <v>5607</v>
      </c>
      <c r="C48" s="112"/>
      <c r="D48" s="112"/>
      <c r="E48" s="112"/>
      <c r="F48" s="112"/>
      <c r="G48" s="112"/>
      <c r="H48" s="606"/>
      <c r="I48" s="181"/>
    </row>
    <row r="49" spans="2:8" s="64" customFormat="1" ht="25.5">
      <c r="B49" s="153" t="s">
        <v>5678</v>
      </c>
      <c r="C49" s="588" t="s">
        <v>5609</v>
      </c>
      <c r="D49" s="148" t="s">
        <v>5437</v>
      </c>
      <c r="E49" s="589" t="s">
        <v>309</v>
      </c>
      <c r="F49" s="615">
        <v>1</v>
      </c>
      <c r="G49" s="616"/>
      <c r="H49" s="617"/>
    </row>
    <row r="50" spans="2:8" s="64" customFormat="1" ht="25.5">
      <c r="B50" s="153" t="s">
        <v>5679</v>
      </c>
      <c r="C50" s="588" t="s">
        <v>5609</v>
      </c>
      <c r="D50" s="149" t="s">
        <v>5439</v>
      </c>
      <c r="E50" s="130" t="s">
        <v>309</v>
      </c>
      <c r="F50" s="147">
        <v>1</v>
      </c>
      <c r="G50" s="618"/>
      <c r="H50" s="619"/>
    </row>
    <row r="51" spans="2:8" s="64" customFormat="1" ht="25.5">
      <c r="B51" s="153" t="s">
        <v>5680</v>
      </c>
      <c r="C51" s="588" t="s">
        <v>5609</v>
      </c>
      <c r="D51" s="149" t="s">
        <v>5441</v>
      </c>
      <c r="E51" s="130" t="s">
        <v>309</v>
      </c>
      <c r="F51" s="147">
        <v>1</v>
      </c>
      <c r="G51" s="618"/>
      <c r="H51" s="619"/>
    </row>
    <row r="52" spans="2:8" s="64" customFormat="1" ht="25.5">
      <c r="B52" s="153" t="s">
        <v>5681</v>
      </c>
      <c r="C52" s="588" t="s">
        <v>5609</v>
      </c>
      <c r="D52" s="149" t="s">
        <v>5443</v>
      </c>
      <c r="E52" s="130" t="s">
        <v>309</v>
      </c>
      <c r="F52" s="147">
        <v>1</v>
      </c>
      <c r="G52" s="618"/>
      <c r="H52" s="619"/>
    </row>
    <row r="53" spans="2:8" s="64" customFormat="1" ht="25.5">
      <c r="B53" s="153" t="s">
        <v>5682</v>
      </c>
      <c r="C53" s="588" t="s">
        <v>5609</v>
      </c>
      <c r="D53" s="149" t="s">
        <v>5445</v>
      </c>
      <c r="E53" s="130" t="s">
        <v>309</v>
      </c>
      <c r="F53" s="147">
        <v>1</v>
      </c>
      <c r="G53" s="618"/>
      <c r="H53" s="619"/>
    </row>
    <row r="54" spans="2:8" s="64" customFormat="1" ht="25.5">
      <c r="B54" s="153" t="s">
        <v>5683</v>
      </c>
      <c r="C54" s="588" t="s">
        <v>5609</v>
      </c>
      <c r="D54" s="149" t="s">
        <v>5447</v>
      </c>
      <c r="E54" s="130" t="s">
        <v>309</v>
      </c>
      <c r="F54" s="147">
        <v>1</v>
      </c>
      <c r="G54" s="618"/>
      <c r="H54" s="619"/>
    </row>
    <row r="55" spans="2:8" s="64" customFormat="1" ht="25.5">
      <c r="B55" s="153" t="s">
        <v>5684</v>
      </c>
      <c r="C55" s="588" t="s">
        <v>5609</v>
      </c>
      <c r="D55" s="149" t="s">
        <v>5449</v>
      </c>
      <c r="E55" s="130" t="s">
        <v>309</v>
      </c>
      <c r="F55" s="147">
        <v>1</v>
      </c>
      <c r="G55" s="618"/>
      <c r="H55" s="619"/>
    </row>
    <row r="56" spans="2:8" s="64" customFormat="1" ht="25.5">
      <c r="B56" s="153" t="s">
        <v>5685</v>
      </c>
      <c r="C56" s="588" t="s">
        <v>5609</v>
      </c>
      <c r="D56" s="149" t="s">
        <v>5451</v>
      </c>
      <c r="E56" s="130" t="s">
        <v>309</v>
      </c>
      <c r="F56" s="147">
        <v>1</v>
      </c>
      <c r="G56" s="618"/>
      <c r="H56" s="619"/>
    </row>
    <row r="57" spans="2:8" s="64" customFormat="1" ht="25.5">
      <c r="B57" s="153" t="s">
        <v>5686</v>
      </c>
      <c r="C57" s="588" t="s">
        <v>5609</v>
      </c>
      <c r="D57" s="149" t="s">
        <v>5453</v>
      </c>
      <c r="E57" s="130" t="s">
        <v>309</v>
      </c>
      <c r="F57" s="147">
        <v>1</v>
      </c>
      <c r="G57" s="618"/>
      <c r="H57" s="619"/>
    </row>
    <row r="58" spans="2:8" s="64" customFormat="1" ht="25.5">
      <c r="B58" s="153" t="s">
        <v>5687</v>
      </c>
      <c r="C58" s="588" t="s">
        <v>5609</v>
      </c>
      <c r="D58" s="149" t="s">
        <v>5455</v>
      </c>
      <c r="E58" s="130" t="s">
        <v>309</v>
      </c>
      <c r="F58" s="147">
        <v>1</v>
      </c>
      <c r="G58" s="618"/>
      <c r="H58" s="619"/>
    </row>
    <row r="59" spans="2:8" s="64" customFormat="1">
      <c r="B59" s="153" t="s">
        <v>5688</v>
      </c>
      <c r="C59" s="588" t="s">
        <v>5609</v>
      </c>
      <c r="D59" s="149" t="s">
        <v>5475</v>
      </c>
      <c r="E59" s="130" t="s">
        <v>309</v>
      </c>
      <c r="F59" s="147">
        <v>1</v>
      </c>
      <c r="G59" s="618"/>
      <c r="H59" s="619"/>
    </row>
    <row r="60" spans="2:8" s="64" customFormat="1" ht="13.5" thickBot="1">
      <c r="B60" s="153" t="s">
        <v>5689</v>
      </c>
      <c r="C60" s="588" t="s">
        <v>5609</v>
      </c>
      <c r="D60" s="465" t="s">
        <v>5604</v>
      </c>
      <c r="E60" s="130" t="s">
        <v>309</v>
      </c>
      <c r="F60" s="147">
        <v>1</v>
      </c>
      <c r="G60" s="618"/>
      <c r="H60" s="619"/>
    </row>
    <row r="61" spans="2:8" s="64" customFormat="1" ht="15.75">
      <c r="B61" s="167" t="s">
        <v>5623</v>
      </c>
      <c r="C61" s="112"/>
      <c r="D61" s="112"/>
      <c r="E61" s="112"/>
      <c r="F61" s="150"/>
      <c r="G61" s="112"/>
      <c r="H61" s="113"/>
    </row>
    <row r="62" spans="2:8" s="64" customFormat="1" ht="25.5">
      <c r="B62" s="153" t="s">
        <v>5690</v>
      </c>
      <c r="C62" s="130" t="s">
        <v>5609</v>
      </c>
      <c r="D62" s="465" t="s">
        <v>5691</v>
      </c>
      <c r="E62" s="130" t="s">
        <v>99</v>
      </c>
      <c r="F62" s="147">
        <v>3</v>
      </c>
      <c r="G62" s="618"/>
      <c r="H62" s="619"/>
    </row>
    <row r="63" spans="2:8" s="64" customFormat="1" ht="38.25">
      <c r="B63" s="153" t="s">
        <v>5692</v>
      </c>
      <c r="C63" s="130" t="s">
        <v>5609</v>
      </c>
      <c r="D63" s="465" t="s">
        <v>5693</v>
      </c>
      <c r="E63" s="130" t="s">
        <v>99</v>
      </c>
      <c r="F63" s="147">
        <v>3</v>
      </c>
      <c r="G63" s="618"/>
      <c r="H63" s="619"/>
    </row>
    <row r="64" spans="2:8" s="64" customFormat="1">
      <c r="B64" s="153" t="s">
        <v>5694</v>
      </c>
      <c r="C64" s="130" t="s">
        <v>5609</v>
      </c>
      <c r="D64" s="465" t="s">
        <v>5695</v>
      </c>
      <c r="E64" s="130" t="s">
        <v>99</v>
      </c>
      <c r="F64" s="147">
        <v>21</v>
      </c>
      <c r="G64" s="618"/>
      <c r="H64" s="619"/>
    </row>
    <row r="65" spans="2:8" s="64" customFormat="1" ht="13.5" thickBot="1">
      <c r="B65" s="153" t="s">
        <v>5696</v>
      </c>
      <c r="C65" s="130" t="s">
        <v>5609</v>
      </c>
      <c r="D65" s="465" t="s">
        <v>5604</v>
      </c>
      <c r="E65" s="130" t="s">
        <v>309</v>
      </c>
      <c r="F65" s="147">
        <v>1</v>
      </c>
      <c r="G65" s="618"/>
      <c r="H65" s="619"/>
    </row>
    <row r="66" spans="2:8" s="64" customFormat="1" ht="16.5" thickBot="1">
      <c r="B66" s="166" t="s">
        <v>5636</v>
      </c>
      <c r="C66" s="111"/>
      <c r="D66" s="111"/>
      <c r="E66" s="111"/>
      <c r="F66" s="168"/>
      <c r="G66" s="111"/>
      <c r="H66" s="169"/>
    </row>
    <row r="67" spans="2:8" s="64" customFormat="1" ht="25.5">
      <c r="B67" s="153" t="s">
        <v>5697</v>
      </c>
      <c r="C67" s="171" t="s">
        <v>5609</v>
      </c>
      <c r="D67" s="170" t="s">
        <v>5698</v>
      </c>
      <c r="E67" s="171" t="s">
        <v>309</v>
      </c>
      <c r="F67" s="172">
        <v>1</v>
      </c>
      <c r="G67" s="620"/>
      <c r="H67" s="621"/>
    </row>
    <row r="68" spans="2:8" s="64" customFormat="1" ht="25.5">
      <c r="B68" s="153" t="s">
        <v>5699</v>
      </c>
      <c r="C68" s="130" t="s">
        <v>5609</v>
      </c>
      <c r="D68" s="465" t="s">
        <v>5700</v>
      </c>
      <c r="E68" s="130" t="s">
        <v>99</v>
      </c>
      <c r="F68" s="147">
        <v>1</v>
      </c>
      <c r="G68" s="616"/>
      <c r="H68" s="617"/>
    </row>
    <row r="69" spans="2:8" s="64" customFormat="1">
      <c r="B69" s="153" t="s">
        <v>5701</v>
      </c>
      <c r="C69" s="130" t="s">
        <v>5609</v>
      </c>
      <c r="D69" s="465" t="s">
        <v>5695</v>
      </c>
      <c r="E69" s="130" t="s">
        <v>99</v>
      </c>
      <c r="F69" s="147">
        <v>8</v>
      </c>
      <c r="G69" s="616"/>
      <c r="H69" s="617"/>
    </row>
    <row r="70" spans="2:8" s="64" customFormat="1">
      <c r="B70" s="153" t="s">
        <v>5702</v>
      </c>
      <c r="C70" s="130" t="s">
        <v>5609</v>
      </c>
      <c r="D70" s="149" t="s">
        <v>5475</v>
      </c>
      <c r="E70" s="130" t="s">
        <v>309</v>
      </c>
      <c r="F70" s="465">
        <v>1</v>
      </c>
      <c r="G70" s="618"/>
      <c r="H70" s="619"/>
    </row>
    <row r="71" spans="2:8" s="64" customFormat="1" ht="13.5" thickBot="1">
      <c r="B71" s="153" t="s">
        <v>5703</v>
      </c>
      <c r="C71" s="130" t="s">
        <v>5609</v>
      </c>
      <c r="D71" s="465" t="s">
        <v>5604</v>
      </c>
      <c r="E71" s="130" t="s">
        <v>309</v>
      </c>
      <c r="F71" s="465">
        <v>1</v>
      </c>
      <c r="G71" s="618"/>
      <c r="H71" s="619"/>
    </row>
    <row r="72" spans="2:8" s="64" customFormat="1" ht="16.5" thickBot="1">
      <c r="B72" s="166" t="s">
        <v>5665</v>
      </c>
      <c r="C72" s="111"/>
      <c r="D72" s="111"/>
      <c r="E72" s="111"/>
      <c r="F72" s="168"/>
      <c r="G72" s="111"/>
      <c r="H72" s="169"/>
    </row>
    <row r="73" spans="2:8" s="64" customFormat="1" ht="25.5">
      <c r="B73" s="153" t="s">
        <v>5704</v>
      </c>
      <c r="C73" s="588" t="s">
        <v>5609</v>
      </c>
      <c r="D73" s="465" t="s">
        <v>5599</v>
      </c>
      <c r="E73" s="130" t="s">
        <v>309</v>
      </c>
      <c r="F73" s="147">
        <v>1</v>
      </c>
      <c r="G73" s="618"/>
      <c r="H73" s="619"/>
    </row>
    <row r="74" spans="2:8" s="64" customFormat="1">
      <c r="B74" s="153" t="s">
        <v>5705</v>
      </c>
      <c r="C74" s="130" t="s">
        <v>5609</v>
      </c>
      <c r="D74" s="149" t="s">
        <v>5475</v>
      </c>
      <c r="E74" s="130" t="s">
        <v>309</v>
      </c>
      <c r="F74" s="465">
        <v>1</v>
      </c>
      <c r="G74" s="618"/>
      <c r="H74" s="619"/>
    </row>
    <row r="75" spans="2:8" s="64" customFormat="1">
      <c r="B75" s="153" t="s">
        <v>5706</v>
      </c>
      <c r="C75" s="130" t="s">
        <v>5609</v>
      </c>
      <c r="D75" s="465" t="s">
        <v>5604</v>
      </c>
      <c r="E75" s="130" t="s">
        <v>309</v>
      </c>
      <c r="F75" s="465">
        <v>1</v>
      </c>
      <c r="G75" s="618"/>
      <c r="H75" s="619"/>
    </row>
    <row r="76" spans="2:8" ht="4.5" customHeight="1" thickBot="1">
      <c r="B76" s="105"/>
      <c r="C76" s="106"/>
      <c r="D76" s="106"/>
      <c r="E76" s="106"/>
      <c r="F76" s="106"/>
      <c r="G76" s="106"/>
      <c r="H76" s="107"/>
    </row>
    <row r="77" spans="2:8" ht="16.5" thickBot="1">
      <c r="B77" s="90" t="s">
        <v>5707</v>
      </c>
      <c r="C77" s="219"/>
      <c r="D77" s="131"/>
      <c r="E77" s="220"/>
      <c r="F77" s="604"/>
      <c r="G77" s="91"/>
      <c r="H77" s="605"/>
    </row>
    <row r="78" spans="2:8">
      <c r="B78" s="556" t="s">
        <v>4837</v>
      </c>
      <c r="C78" s="557"/>
      <c r="D78" s="557"/>
      <c r="E78" s="557"/>
      <c r="F78" s="557"/>
      <c r="G78" s="92"/>
    </row>
  </sheetData>
  <mergeCells count="1">
    <mergeCell ref="B78:F78"/>
  </mergeCells>
  <printOptions horizontalCentered="1"/>
  <pageMargins left="0.62992125984251968" right="0.23622047244094491" top="0.59055118110236227" bottom="0.47244094488188981" header="0.31496062992125984" footer="0.19685039370078741"/>
  <pageSetup paperSize="119" scale="74" fitToHeight="0" orientation="portrait" verticalDpi="1200" r:id="rId1"/>
  <headerFooter>
    <oddFooter>&amp;CPágina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75"/>
  <sheetViews>
    <sheetView zoomScale="70" zoomScaleNormal="70" workbookViewId="0">
      <selection activeCell="N17" sqref="N17"/>
    </sheetView>
  </sheetViews>
  <sheetFormatPr defaultColWidth="9.140625" defaultRowHeight="12.75"/>
  <cols>
    <col min="1" max="1" width="1.140625" style="89" customWidth="1"/>
    <col min="2" max="2" width="10.28515625" style="89" customWidth="1"/>
    <col min="3" max="3" width="6.140625" style="89" customWidth="1"/>
    <col min="4" max="4" width="70.28515625" style="89" bestFit="1" customWidth="1"/>
    <col min="5" max="5" width="8.5703125" style="89" customWidth="1"/>
    <col min="6" max="6" width="11.7109375" style="89" customWidth="1"/>
    <col min="7" max="8" width="12.5703125" style="89" customWidth="1"/>
    <col min="9" max="9" width="3.42578125" style="89" customWidth="1"/>
    <col min="10" max="251" width="11.42578125" style="89" customWidth="1"/>
    <col min="252" max="16384" width="9.140625" style="89"/>
  </cols>
  <sheetData>
    <row r="1" spans="2:8" s="58" customFormat="1">
      <c r="B1" s="71" t="s">
        <v>0</v>
      </c>
      <c r="C1" s="568"/>
      <c r="D1" s="568"/>
      <c r="E1" s="568"/>
      <c r="F1" s="568"/>
      <c r="G1" s="568"/>
      <c r="H1" s="568"/>
    </row>
    <row r="2" spans="2:8" s="58" customFormat="1">
      <c r="B2" s="71" t="s">
        <v>1</v>
      </c>
      <c r="C2" s="568"/>
      <c r="D2" s="568"/>
      <c r="E2" s="568"/>
      <c r="F2" s="568"/>
      <c r="G2" s="568"/>
      <c r="H2" s="568"/>
    </row>
    <row r="3" spans="2:8" s="58" customFormat="1">
      <c r="B3" s="71" t="str">
        <f>+Resumen!B3</f>
        <v>SDP/00014311/573/2020 - OBRAS CIVILES, INSTALACIONES Y MANTENIMIENTO POSTERIOR - PALACIO DE JUSTICIA DE SALTO DEL GUAIRÁ.</v>
      </c>
      <c r="C3" s="568"/>
      <c r="D3" s="568"/>
      <c r="E3" s="568"/>
      <c r="F3" s="568"/>
      <c r="G3" s="568"/>
      <c r="H3" s="568"/>
    </row>
    <row r="4" spans="2:8" s="58" customFormat="1" ht="5.25" customHeight="1" thickBot="1">
      <c r="B4" s="72"/>
      <c r="C4" s="73"/>
      <c r="D4" s="570"/>
      <c r="E4" s="570"/>
      <c r="F4" s="571"/>
      <c r="G4" s="572"/>
      <c r="H4" s="572"/>
    </row>
    <row r="5" spans="2:8" s="58" customFormat="1" ht="18.75" thickBot="1">
      <c r="B5" s="74" t="s">
        <v>5708</v>
      </c>
      <c r="C5" s="573"/>
      <c r="D5" s="75"/>
      <c r="E5" s="573"/>
      <c r="F5" s="574"/>
      <c r="G5" s="575"/>
      <c r="H5" s="576"/>
    </row>
    <row r="6" spans="2:8" s="58" customFormat="1">
      <c r="B6" s="76" t="s">
        <v>45</v>
      </c>
      <c r="C6" s="77" t="s">
        <v>46</v>
      </c>
      <c r="D6" s="77" t="s">
        <v>47</v>
      </c>
      <c r="E6" s="77" t="s">
        <v>48</v>
      </c>
      <c r="F6" s="78" t="s">
        <v>5361</v>
      </c>
      <c r="G6" s="79" t="s">
        <v>50</v>
      </c>
      <c r="H6" s="80" t="s">
        <v>6</v>
      </c>
    </row>
    <row r="7" spans="2:8" s="58" customFormat="1" ht="13.5" thickBot="1">
      <c r="B7" s="93"/>
      <c r="C7" s="94" t="s">
        <v>51</v>
      </c>
      <c r="D7" s="94"/>
      <c r="E7" s="95"/>
      <c r="F7" s="96"/>
      <c r="G7" s="109" t="s">
        <v>8</v>
      </c>
      <c r="H7" s="110" t="s">
        <v>8</v>
      </c>
    </row>
    <row r="8" spans="2:8" s="124" customFormat="1" ht="15" thickBot="1">
      <c r="B8" s="139" t="s">
        <v>4839</v>
      </c>
      <c r="C8" s="140"/>
      <c r="D8" s="140"/>
      <c r="E8" s="140"/>
      <c r="F8" s="140"/>
      <c r="G8" s="140"/>
      <c r="H8" s="152"/>
    </row>
    <row r="9" spans="2:8" s="64" customFormat="1" ht="76.5">
      <c r="B9" s="153" t="s">
        <v>5709</v>
      </c>
      <c r="C9" s="622" t="s">
        <v>5710</v>
      </c>
      <c r="D9" s="174" t="s">
        <v>5711</v>
      </c>
      <c r="E9" s="622" t="s">
        <v>309</v>
      </c>
      <c r="F9" s="623">
        <v>1</v>
      </c>
      <c r="G9" s="624"/>
      <c r="H9" s="625"/>
    </row>
    <row r="10" spans="2:8" s="64" customFormat="1">
      <c r="B10" s="153" t="s">
        <v>5712</v>
      </c>
      <c r="C10" s="622" t="s">
        <v>5710</v>
      </c>
      <c r="D10" s="173" t="s">
        <v>5713</v>
      </c>
      <c r="E10" s="626" t="s">
        <v>309</v>
      </c>
      <c r="F10" s="627">
        <v>1</v>
      </c>
      <c r="G10" s="628"/>
      <c r="H10" s="629"/>
    </row>
    <row r="11" spans="2:8" s="64" customFormat="1" ht="51">
      <c r="B11" s="153" t="s">
        <v>5714</v>
      </c>
      <c r="C11" s="622" t="s">
        <v>5710</v>
      </c>
      <c r="D11" s="173" t="s">
        <v>5715</v>
      </c>
      <c r="E11" s="626" t="s">
        <v>99</v>
      </c>
      <c r="F11" s="627">
        <v>1</v>
      </c>
      <c r="G11" s="628"/>
      <c r="H11" s="629"/>
    </row>
    <row r="12" spans="2:8" s="64" customFormat="1">
      <c r="B12" s="153" t="s">
        <v>5716</v>
      </c>
      <c r="C12" s="622" t="s">
        <v>5710</v>
      </c>
      <c r="D12" s="630" t="s">
        <v>5717</v>
      </c>
      <c r="E12" s="626" t="s">
        <v>99</v>
      </c>
      <c r="F12" s="627">
        <v>1</v>
      </c>
      <c r="G12" s="628"/>
      <c r="H12" s="629"/>
    </row>
    <row r="13" spans="2:8" s="64" customFormat="1">
      <c r="B13" s="153" t="s">
        <v>5718</v>
      </c>
      <c r="C13" s="622" t="s">
        <v>5710</v>
      </c>
      <c r="D13" s="173" t="s">
        <v>5719</v>
      </c>
      <c r="E13" s="626" t="s">
        <v>99</v>
      </c>
      <c r="F13" s="627">
        <v>1</v>
      </c>
      <c r="G13" s="628"/>
      <c r="H13" s="629"/>
    </row>
    <row r="14" spans="2:8" s="64" customFormat="1" ht="51">
      <c r="B14" s="153" t="s">
        <v>5720</v>
      </c>
      <c r="C14" s="622" t="s">
        <v>5710</v>
      </c>
      <c r="D14" s="631" t="s">
        <v>5721</v>
      </c>
      <c r="E14" s="626" t="s">
        <v>99</v>
      </c>
      <c r="F14" s="627">
        <v>1</v>
      </c>
      <c r="G14" s="628"/>
      <c r="H14" s="629"/>
    </row>
    <row r="15" spans="2:8" s="64" customFormat="1" ht="25.5">
      <c r="B15" s="153" t="s">
        <v>5722</v>
      </c>
      <c r="C15" s="622" t="s">
        <v>5710</v>
      </c>
      <c r="D15" s="631" t="s">
        <v>5723</v>
      </c>
      <c r="E15" s="632" t="s">
        <v>99</v>
      </c>
      <c r="F15" s="627">
        <v>3</v>
      </c>
      <c r="G15" s="628"/>
      <c r="H15" s="629"/>
    </row>
    <row r="16" spans="2:8" s="64" customFormat="1" ht="51">
      <c r="B16" s="153" t="s">
        <v>5724</v>
      </c>
      <c r="C16" s="622" t="s">
        <v>5710</v>
      </c>
      <c r="D16" s="633" t="s">
        <v>5725</v>
      </c>
      <c r="E16" s="626" t="s">
        <v>99</v>
      </c>
      <c r="F16" s="627">
        <v>70</v>
      </c>
      <c r="G16" s="628"/>
      <c r="H16" s="629"/>
    </row>
    <row r="17" spans="2:9" s="64" customFormat="1" ht="38.25">
      <c r="B17" s="153" t="s">
        <v>5726</v>
      </c>
      <c r="C17" s="622" t="s">
        <v>5710</v>
      </c>
      <c r="D17" s="633" t="s">
        <v>5727</v>
      </c>
      <c r="E17" s="626" t="s">
        <v>99</v>
      </c>
      <c r="F17" s="627">
        <v>250</v>
      </c>
      <c r="G17" s="628"/>
      <c r="H17" s="629"/>
      <c r="I17" s="181"/>
    </row>
    <row r="18" spans="2:9" s="64" customFormat="1" ht="25.5">
      <c r="B18" s="153" t="s">
        <v>5728</v>
      </c>
      <c r="C18" s="622" t="s">
        <v>5710</v>
      </c>
      <c r="D18" s="631" t="s">
        <v>5729</v>
      </c>
      <c r="E18" s="632" t="s">
        <v>99</v>
      </c>
      <c r="F18" s="627">
        <v>7</v>
      </c>
      <c r="G18" s="628"/>
      <c r="H18" s="629"/>
      <c r="I18" s="181"/>
    </row>
    <row r="19" spans="2:9" s="64" customFormat="1" ht="25.5">
      <c r="B19" s="153" t="s">
        <v>5730</v>
      </c>
      <c r="C19" s="622" t="s">
        <v>5710</v>
      </c>
      <c r="D19" s="631" t="s">
        <v>5731</v>
      </c>
      <c r="E19" s="632" t="s">
        <v>99</v>
      </c>
      <c r="F19" s="627">
        <v>3</v>
      </c>
      <c r="G19" s="628"/>
      <c r="H19" s="629"/>
      <c r="I19" s="181"/>
    </row>
    <row r="20" spans="2:9" s="64" customFormat="1" ht="26.25" thickBot="1">
      <c r="B20" s="153" t="s">
        <v>5732</v>
      </c>
      <c r="C20" s="622" t="s">
        <v>5710</v>
      </c>
      <c r="D20" s="631" t="s">
        <v>5733</v>
      </c>
      <c r="E20" s="632" t="s">
        <v>309</v>
      </c>
      <c r="F20" s="627">
        <v>1</v>
      </c>
      <c r="G20" s="628"/>
      <c r="H20" s="629"/>
      <c r="I20" s="181"/>
    </row>
    <row r="21" spans="2:9" s="124" customFormat="1" ht="15" thickBot="1">
      <c r="B21" s="139" t="s">
        <v>4919</v>
      </c>
      <c r="C21" s="140"/>
      <c r="D21" s="140"/>
      <c r="E21" s="159"/>
      <c r="F21" s="159"/>
      <c r="G21" s="159"/>
      <c r="H21" s="160"/>
      <c r="I21" s="161"/>
    </row>
    <row r="22" spans="2:9" s="64" customFormat="1" ht="25.5">
      <c r="B22" s="153" t="s">
        <v>5734</v>
      </c>
      <c r="C22" s="622" t="s">
        <v>5710</v>
      </c>
      <c r="D22" s="175" t="s">
        <v>5735</v>
      </c>
      <c r="E22" s="634" t="s">
        <v>309</v>
      </c>
      <c r="F22" s="635">
        <v>1</v>
      </c>
      <c r="G22" s="636"/>
      <c r="H22" s="629"/>
      <c r="I22" s="181"/>
    </row>
    <row r="23" spans="2:9" s="64" customFormat="1" ht="25.5">
      <c r="B23" s="153" t="s">
        <v>5736</v>
      </c>
      <c r="C23" s="622" t="s">
        <v>5710</v>
      </c>
      <c r="D23" s="175" t="s">
        <v>5737</v>
      </c>
      <c r="E23" s="634" t="s">
        <v>309</v>
      </c>
      <c r="F23" s="635">
        <v>1</v>
      </c>
      <c r="G23" s="636"/>
      <c r="H23" s="629"/>
      <c r="I23" s="181"/>
    </row>
    <row r="24" spans="2:9" s="64" customFormat="1" ht="25.5">
      <c r="B24" s="153" t="s">
        <v>5738</v>
      </c>
      <c r="C24" s="622" t="s">
        <v>5710</v>
      </c>
      <c r="D24" s="175" t="s">
        <v>5739</v>
      </c>
      <c r="E24" s="634" t="s">
        <v>309</v>
      </c>
      <c r="F24" s="635">
        <v>1</v>
      </c>
      <c r="G24" s="636"/>
      <c r="H24" s="629"/>
      <c r="I24" s="181"/>
    </row>
    <row r="25" spans="2:9" s="64" customFormat="1" ht="25.5">
      <c r="B25" s="153" t="s">
        <v>5740</v>
      </c>
      <c r="C25" s="622" t="s">
        <v>5710</v>
      </c>
      <c r="D25" s="175" t="s">
        <v>5741</v>
      </c>
      <c r="E25" s="634" t="s">
        <v>309</v>
      </c>
      <c r="F25" s="635">
        <v>1</v>
      </c>
      <c r="G25" s="636"/>
      <c r="H25" s="629"/>
      <c r="I25" s="181"/>
    </row>
    <row r="26" spans="2:9" s="64" customFormat="1" ht="25.5">
      <c r="B26" s="153" t="s">
        <v>5742</v>
      </c>
      <c r="C26" s="622" t="s">
        <v>5710</v>
      </c>
      <c r="D26" s="175" t="s">
        <v>5743</v>
      </c>
      <c r="E26" s="634" t="s">
        <v>309</v>
      </c>
      <c r="F26" s="635">
        <v>1</v>
      </c>
      <c r="G26" s="636"/>
      <c r="H26" s="629"/>
      <c r="I26" s="181"/>
    </row>
    <row r="27" spans="2:9" s="64" customFormat="1" ht="25.5">
      <c r="B27" s="153" t="s">
        <v>5744</v>
      </c>
      <c r="C27" s="622" t="s">
        <v>5710</v>
      </c>
      <c r="D27" s="175" t="s">
        <v>5745</v>
      </c>
      <c r="E27" s="634" t="s">
        <v>309</v>
      </c>
      <c r="F27" s="635">
        <v>1</v>
      </c>
      <c r="G27" s="636"/>
      <c r="H27" s="629"/>
      <c r="I27" s="181"/>
    </row>
    <row r="28" spans="2:9" s="64" customFormat="1" ht="25.5">
      <c r="B28" s="153" t="s">
        <v>5746</v>
      </c>
      <c r="C28" s="622" t="s">
        <v>5710</v>
      </c>
      <c r="D28" s="175" t="s">
        <v>5747</v>
      </c>
      <c r="E28" s="634" t="s">
        <v>309</v>
      </c>
      <c r="F28" s="635">
        <v>1</v>
      </c>
      <c r="G28" s="636"/>
      <c r="H28" s="629"/>
      <c r="I28" s="181"/>
    </row>
    <row r="29" spans="2:9" s="64" customFormat="1" ht="25.5">
      <c r="B29" s="153" t="s">
        <v>5748</v>
      </c>
      <c r="C29" s="622" t="s">
        <v>5710</v>
      </c>
      <c r="D29" s="175" t="s">
        <v>5749</v>
      </c>
      <c r="E29" s="634" t="s">
        <v>309</v>
      </c>
      <c r="F29" s="635">
        <v>1</v>
      </c>
      <c r="G29" s="636"/>
      <c r="H29" s="629"/>
      <c r="I29" s="181"/>
    </row>
    <row r="30" spans="2:9" s="64" customFormat="1" ht="25.5">
      <c r="B30" s="153" t="s">
        <v>5750</v>
      </c>
      <c r="C30" s="622" t="s">
        <v>5710</v>
      </c>
      <c r="D30" s="175" t="s">
        <v>5751</v>
      </c>
      <c r="E30" s="634" t="s">
        <v>309</v>
      </c>
      <c r="F30" s="635">
        <v>1</v>
      </c>
      <c r="G30" s="636"/>
      <c r="H30" s="629"/>
      <c r="I30" s="181"/>
    </row>
    <row r="31" spans="2:9" s="64" customFormat="1" ht="38.25">
      <c r="B31" s="153" t="s">
        <v>5752</v>
      </c>
      <c r="C31" s="622" t="s">
        <v>5710</v>
      </c>
      <c r="D31" s="175" t="s">
        <v>5753</v>
      </c>
      <c r="E31" s="634" t="s">
        <v>309</v>
      </c>
      <c r="F31" s="635">
        <v>1</v>
      </c>
      <c r="G31" s="636"/>
      <c r="H31" s="629"/>
      <c r="I31" s="181"/>
    </row>
    <row r="32" spans="2:9" s="64" customFormat="1" ht="38.25">
      <c r="B32" s="153" t="s">
        <v>5754</v>
      </c>
      <c r="C32" s="622" t="s">
        <v>5710</v>
      </c>
      <c r="D32" s="175" t="s">
        <v>5755</v>
      </c>
      <c r="E32" s="634" t="s">
        <v>309</v>
      </c>
      <c r="F32" s="635">
        <v>1</v>
      </c>
      <c r="G32" s="636"/>
      <c r="H32" s="629"/>
      <c r="I32" s="181"/>
    </row>
    <row r="33" spans="2:8" s="64" customFormat="1" ht="38.25">
      <c r="B33" s="153" t="s">
        <v>5756</v>
      </c>
      <c r="C33" s="622" t="s">
        <v>5710</v>
      </c>
      <c r="D33" s="175" t="s">
        <v>5757</v>
      </c>
      <c r="E33" s="634" t="s">
        <v>309</v>
      </c>
      <c r="F33" s="635">
        <v>1</v>
      </c>
      <c r="G33" s="636"/>
      <c r="H33" s="629"/>
    </row>
    <row r="34" spans="2:8" s="64" customFormat="1" ht="38.25">
      <c r="B34" s="153" t="s">
        <v>5758</v>
      </c>
      <c r="C34" s="622" t="s">
        <v>5710</v>
      </c>
      <c r="D34" s="175" t="s">
        <v>5759</v>
      </c>
      <c r="E34" s="634" t="s">
        <v>309</v>
      </c>
      <c r="F34" s="635">
        <v>1</v>
      </c>
      <c r="G34" s="636"/>
      <c r="H34" s="629"/>
    </row>
    <row r="35" spans="2:8" s="64" customFormat="1" ht="38.25">
      <c r="B35" s="153" t="s">
        <v>5760</v>
      </c>
      <c r="C35" s="622" t="s">
        <v>5710</v>
      </c>
      <c r="D35" s="175" t="s">
        <v>5761</v>
      </c>
      <c r="E35" s="634" t="s">
        <v>309</v>
      </c>
      <c r="F35" s="635">
        <v>1</v>
      </c>
      <c r="G35" s="637"/>
      <c r="H35" s="629"/>
    </row>
    <row r="36" spans="2:8" s="64" customFormat="1" ht="38.25">
      <c r="B36" s="153" t="s">
        <v>5762</v>
      </c>
      <c r="C36" s="622" t="s">
        <v>5710</v>
      </c>
      <c r="D36" s="175" t="s">
        <v>5763</v>
      </c>
      <c r="E36" s="634" t="s">
        <v>309</v>
      </c>
      <c r="F36" s="635">
        <v>1</v>
      </c>
      <c r="G36" s="637"/>
      <c r="H36" s="629"/>
    </row>
    <row r="37" spans="2:8" s="64" customFormat="1" ht="38.25">
      <c r="B37" s="153" t="s">
        <v>5764</v>
      </c>
      <c r="C37" s="622" t="s">
        <v>5710</v>
      </c>
      <c r="D37" s="175" t="s">
        <v>5765</v>
      </c>
      <c r="E37" s="634" t="s">
        <v>309</v>
      </c>
      <c r="F37" s="635">
        <v>1</v>
      </c>
      <c r="G37" s="637"/>
      <c r="H37" s="629"/>
    </row>
    <row r="38" spans="2:8" s="64" customFormat="1" ht="38.25">
      <c r="B38" s="153" t="s">
        <v>5766</v>
      </c>
      <c r="C38" s="622" t="s">
        <v>5710</v>
      </c>
      <c r="D38" s="175" t="s">
        <v>5767</v>
      </c>
      <c r="E38" s="634" t="s">
        <v>309</v>
      </c>
      <c r="F38" s="635">
        <v>1</v>
      </c>
      <c r="G38" s="637"/>
      <c r="H38" s="629"/>
    </row>
    <row r="39" spans="2:8" s="64" customFormat="1" ht="38.25">
      <c r="B39" s="153" t="s">
        <v>5768</v>
      </c>
      <c r="C39" s="622" t="s">
        <v>5710</v>
      </c>
      <c r="D39" s="175" t="s">
        <v>5769</v>
      </c>
      <c r="E39" s="634" t="s">
        <v>309</v>
      </c>
      <c r="F39" s="635">
        <v>1</v>
      </c>
      <c r="G39" s="637"/>
      <c r="H39" s="629"/>
    </row>
    <row r="40" spans="2:8" s="64" customFormat="1" ht="38.25">
      <c r="B40" s="153" t="s">
        <v>5770</v>
      </c>
      <c r="C40" s="622" t="s">
        <v>5710</v>
      </c>
      <c r="D40" s="175" t="s">
        <v>5771</v>
      </c>
      <c r="E40" s="634" t="s">
        <v>309</v>
      </c>
      <c r="F40" s="635">
        <v>1</v>
      </c>
      <c r="G40" s="637"/>
      <c r="H40" s="629"/>
    </row>
    <row r="41" spans="2:8" s="64" customFormat="1" ht="25.5">
      <c r="B41" s="153" t="s">
        <v>5772</v>
      </c>
      <c r="C41" s="622" t="s">
        <v>5710</v>
      </c>
      <c r="D41" s="175" t="s">
        <v>5773</v>
      </c>
      <c r="E41" s="634" t="s">
        <v>99</v>
      </c>
      <c r="F41" s="635">
        <v>1</v>
      </c>
      <c r="G41" s="637"/>
      <c r="H41" s="629"/>
    </row>
    <row r="42" spans="2:8" s="64" customFormat="1" ht="25.5">
      <c r="B42" s="153" t="s">
        <v>5774</v>
      </c>
      <c r="C42" s="622" t="s">
        <v>5710</v>
      </c>
      <c r="D42" s="175" t="s">
        <v>5775</v>
      </c>
      <c r="E42" s="634" t="s">
        <v>99</v>
      </c>
      <c r="F42" s="635">
        <v>25</v>
      </c>
      <c r="G42" s="637"/>
      <c r="H42" s="629"/>
    </row>
    <row r="43" spans="2:8" s="64" customFormat="1">
      <c r="B43" s="153" t="s">
        <v>5776</v>
      </c>
      <c r="C43" s="622" t="s">
        <v>5710</v>
      </c>
      <c r="D43" s="175" t="s">
        <v>5777</v>
      </c>
      <c r="E43" s="634" t="s">
        <v>99</v>
      </c>
      <c r="F43" s="635">
        <v>1</v>
      </c>
      <c r="G43" s="637"/>
      <c r="H43" s="629"/>
    </row>
    <row r="44" spans="2:8" s="64" customFormat="1">
      <c r="B44" s="153" t="s">
        <v>5778</v>
      </c>
      <c r="C44" s="622" t="s">
        <v>5710</v>
      </c>
      <c r="D44" s="175" t="s">
        <v>5779</v>
      </c>
      <c r="E44" s="634" t="s">
        <v>99</v>
      </c>
      <c r="F44" s="635">
        <v>25</v>
      </c>
      <c r="G44" s="637"/>
      <c r="H44" s="629"/>
    </row>
    <row r="45" spans="2:8" s="64" customFormat="1">
      <c r="B45" s="153" t="s">
        <v>5780</v>
      </c>
      <c r="C45" s="622" t="s">
        <v>5710</v>
      </c>
      <c r="D45" s="175" t="s">
        <v>5781</v>
      </c>
      <c r="E45" s="634" t="s">
        <v>99</v>
      </c>
      <c r="F45" s="635">
        <v>15</v>
      </c>
      <c r="G45" s="637"/>
      <c r="H45" s="629"/>
    </row>
    <row r="46" spans="2:8" s="64" customFormat="1">
      <c r="B46" s="153" t="s">
        <v>5782</v>
      </c>
      <c r="C46" s="622" t="s">
        <v>5710</v>
      </c>
      <c r="D46" s="175" t="s">
        <v>5783</v>
      </c>
      <c r="E46" s="634" t="s">
        <v>99</v>
      </c>
      <c r="F46" s="635">
        <v>163</v>
      </c>
      <c r="G46" s="637"/>
      <c r="H46" s="629"/>
    </row>
    <row r="47" spans="2:8" s="64" customFormat="1">
      <c r="B47" s="153" t="s">
        <v>5784</v>
      </c>
      <c r="C47" s="622" t="s">
        <v>5710</v>
      </c>
      <c r="D47" s="175" t="s">
        <v>5785</v>
      </c>
      <c r="E47" s="634" t="s">
        <v>99</v>
      </c>
      <c r="F47" s="635">
        <f>46+18+27+1+13</f>
        <v>105</v>
      </c>
      <c r="G47" s="637"/>
      <c r="H47" s="629"/>
    </row>
    <row r="48" spans="2:8" s="64" customFormat="1">
      <c r="B48" s="153" t="s">
        <v>5786</v>
      </c>
      <c r="C48" s="622" t="s">
        <v>5710</v>
      </c>
      <c r="D48" s="175" t="s">
        <v>5787</v>
      </c>
      <c r="E48" s="634" t="s">
        <v>99</v>
      </c>
      <c r="F48" s="635">
        <f>45+26+32+43</f>
        <v>146</v>
      </c>
      <c r="G48" s="637"/>
      <c r="H48" s="629"/>
    </row>
    <row r="49" spans="2:8" s="64" customFormat="1">
      <c r="B49" s="153" t="s">
        <v>5788</v>
      </c>
      <c r="C49" s="622" t="s">
        <v>5710</v>
      </c>
      <c r="D49" s="175" t="s">
        <v>5789</v>
      </c>
      <c r="E49" s="634" t="s">
        <v>99</v>
      </c>
      <c r="F49" s="635">
        <f>45+42+14+46</f>
        <v>147</v>
      </c>
      <c r="G49" s="637"/>
      <c r="H49" s="629"/>
    </row>
    <row r="50" spans="2:8" s="64" customFormat="1">
      <c r="B50" s="153" t="s">
        <v>5790</v>
      </c>
      <c r="C50" s="622" t="s">
        <v>5710</v>
      </c>
      <c r="D50" s="175" t="s">
        <v>5791</v>
      </c>
      <c r="E50" s="634" t="s">
        <v>99</v>
      </c>
      <c r="F50" s="635">
        <f>45+37+1+46</f>
        <v>129</v>
      </c>
      <c r="G50" s="637"/>
      <c r="H50" s="629"/>
    </row>
    <row r="51" spans="2:8" s="64" customFormat="1">
      <c r="B51" s="153" t="s">
        <v>5792</v>
      </c>
      <c r="C51" s="622" t="s">
        <v>5710</v>
      </c>
      <c r="D51" s="175" t="s">
        <v>5793</v>
      </c>
      <c r="E51" s="634" t="s">
        <v>99</v>
      </c>
      <c r="F51" s="635">
        <f>45+37+36</f>
        <v>118</v>
      </c>
      <c r="G51" s="637"/>
      <c r="H51" s="629"/>
    </row>
    <row r="52" spans="2:8" s="64" customFormat="1">
      <c r="B52" s="153" t="s">
        <v>5794</v>
      </c>
      <c r="C52" s="622" t="s">
        <v>5710</v>
      </c>
      <c r="D52" s="175" t="s">
        <v>5795</v>
      </c>
      <c r="E52" s="634" t="s">
        <v>99</v>
      </c>
      <c r="F52" s="635">
        <f>42+38+1</f>
        <v>81</v>
      </c>
      <c r="G52" s="637"/>
      <c r="H52" s="629"/>
    </row>
    <row r="53" spans="2:8" s="64" customFormat="1">
      <c r="B53" s="153" t="s">
        <v>5796</v>
      </c>
      <c r="C53" s="622" t="s">
        <v>5710</v>
      </c>
      <c r="D53" s="175" t="s">
        <v>5797</v>
      </c>
      <c r="E53" s="634" t="s">
        <v>99</v>
      </c>
      <c r="F53" s="635">
        <f>36+38</f>
        <v>74</v>
      </c>
      <c r="G53" s="637"/>
      <c r="H53" s="629"/>
    </row>
    <row r="54" spans="2:8" s="64" customFormat="1">
      <c r="B54" s="153" t="s">
        <v>5798</v>
      </c>
      <c r="C54" s="622" t="s">
        <v>5710</v>
      </c>
      <c r="D54" s="175" t="s">
        <v>5799</v>
      </c>
      <c r="E54" s="634" t="s">
        <v>99</v>
      </c>
      <c r="F54" s="635">
        <f>1+35</f>
        <v>36</v>
      </c>
      <c r="G54" s="637"/>
      <c r="H54" s="629"/>
    </row>
    <row r="55" spans="2:8" s="64" customFormat="1">
      <c r="B55" s="153" t="s">
        <v>5800</v>
      </c>
      <c r="C55" s="622" t="s">
        <v>5710</v>
      </c>
      <c r="D55" s="175" t="s">
        <v>5801</v>
      </c>
      <c r="E55" s="634" t="s">
        <v>99</v>
      </c>
      <c r="F55" s="635">
        <v>1</v>
      </c>
      <c r="G55" s="637"/>
      <c r="H55" s="629"/>
    </row>
    <row r="56" spans="2:8" s="64" customFormat="1">
      <c r="B56" s="153" t="s">
        <v>5802</v>
      </c>
      <c r="C56" s="622" t="s">
        <v>5710</v>
      </c>
      <c r="D56" s="175" t="s">
        <v>5803</v>
      </c>
      <c r="E56" s="634" t="s">
        <v>309</v>
      </c>
      <c r="F56" s="635">
        <v>1</v>
      </c>
      <c r="G56" s="637"/>
      <c r="H56" s="629"/>
    </row>
    <row r="57" spans="2:8" s="64" customFormat="1">
      <c r="B57" s="153" t="s">
        <v>5804</v>
      </c>
      <c r="C57" s="622" t="s">
        <v>5710</v>
      </c>
      <c r="D57" s="175" t="s">
        <v>5805</v>
      </c>
      <c r="E57" s="634" t="s">
        <v>309</v>
      </c>
      <c r="F57" s="635">
        <v>1</v>
      </c>
      <c r="G57" s="637"/>
      <c r="H57" s="629"/>
    </row>
    <row r="58" spans="2:8" s="64" customFormat="1">
      <c r="B58" s="153" t="s">
        <v>5806</v>
      </c>
      <c r="C58" s="622" t="s">
        <v>5710</v>
      </c>
      <c r="D58" s="175" t="s">
        <v>5807</v>
      </c>
      <c r="E58" s="634" t="s">
        <v>309</v>
      </c>
      <c r="F58" s="635">
        <v>1</v>
      </c>
      <c r="G58" s="637"/>
      <c r="H58" s="629"/>
    </row>
    <row r="59" spans="2:8" s="64" customFormat="1">
      <c r="B59" s="153" t="s">
        <v>5808</v>
      </c>
      <c r="C59" s="622" t="s">
        <v>5710</v>
      </c>
      <c r="D59" s="175" t="s">
        <v>5809</v>
      </c>
      <c r="E59" s="634" t="s">
        <v>309</v>
      </c>
      <c r="F59" s="635">
        <v>1</v>
      </c>
      <c r="G59" s="637"/>
      <c r="H59" s="629"/>
    </row>
    <row r="60" spans="2:8" s="64" customFormat="1">
      <c r="B60" s="153" t="s">
        <v>5810</v>
      </c>
      <c r="C60" s="622" t="s">
        <v>5710</v>
      </c>
      <c r="D60" s="175" t="s">
        <v>5811</v>
      </c>
      <c r="E60" s="634" t="s">
        <v>309</v>
      </c>
      <c r="F60" s="635">
        <v>1</v>
      </c>
      <c r="G60" s="637"/>
      <c r="H60" s="629"/>
    </row>
    <row r="61" spans="2:8" s="64" customFormat="1">
      <c r="B61" s="153" t="s">
        <v>5812</v>
      </c>
      <c r="C61" s="622" t="s">
        <v>5710</v>
      </c>
      <c r="D61" s="175" t="s">
        <v>5813</v>
      </c>
      <c r="E61" s="634" t="s">
        <v>309</v>
      </c>
      <c r="F61" s="635">
        <v>1</v>
      </c>
      <c r="G61" s="637"/>
      <c r="H61" s="629"/>
    </row>
    <row r="62" spans="2:8" s="64" customFormat="1">
      <c r="B62" s="153" t="s">
        <v>5814</v>
      </c>
      <c r="C62" s="622" t="s">
        <v>5710</v>
      </c>
      <c r="D62" s="175" t="s">
        <v>5815</v>
      </c>
      <c r="E62" s="634" t="s">
        <v>309</v>
      </c>
      <c r="F62" s="635">
        <v>1</v>
      </c>
      <c r="G62" s="637"/>
      <c r="H62" s="629"/>
    </row>
    <row r="63" spans="2:8" s="64" customFormat="1">
      <c r="B63" s="153" t="s">
        <v>5816</v>
      </c>
      <c r="C63" s="622" t="s">
        <v>5710</v>
      </c>
      <c r="D63" s="175" t="s">
        <v>5817</v>
      </c>
      <c r="E63" s="634" t="s">
        <v>309</v>
      </c>
      <c r="F63" s="635">
        <v>1</v>
      </c>
      <c r="G63" s="637"/>
      <c r="H63" s="629"/>
    </row>
    <row r="64" spans="2:8" s="64" customFormat="1">
      <c r="B64" s="153" t="s">
        <v>5818</v>
      </c>
      <c r="C64" s="622" t="s">
        <v>5710</v>
      </c>
      <c r="D64" s="175" t="s">
        <v>5819</v>
      </c>
      <c r="E64" s="634" t="s">
        <v>309</v>
      </c>
      <c r="F64" s="635">
        <v>1</v>
      </c>
      <c r="G64" s="637"/>
      <c r="H64" s="629"/>
    </row>
    <row r="65" spans="2:8" s="64" customFormat="1">
      <c r="B65" s="153" t="s">
        <v>5820</v>
      </c>
      <c r="C65" s="622" t="s">
        <v>5710</v>
      </c>
      <c r="D65" s="175" t="s">
        <v>5821</v>
      </c>
      <c r="E65" s="634" t="s">
        <v>309</v>
      </c>
      <c r="F65" s="635">
        <v>1</v>
      </c>
      <c r="G65" s="637"/>
      <c r="H65" s="629"/>
    </row>
    <row r="66" spans="2:8" s="64" customFormat="1">
      <c r="B66" s="153" t="s">
        <v>5822</v>
      </c>
      <c r="C66" s="622" t="s">
        <v>5710</v>
      </c>
      <c r="D66" s="175" t="s">
        <v>5823</v>
      </c>
      <c r="E66" s="634" t="s">
        <v>309</v>
      </c>
      <c r="F66" s="635">
        <v>1</v>
      </c>
      <c r="G66" s="637"/>
      <c r="H66" s="629"/>
    </row>
    <row r="67" spans="2:8" s="64" customFormat="1">
      <c r="B67" s="153" t="s">
        <v>5824</v>
      </c>
      <c r="C67" s="622" t="s">
        <v>5710</v>
      </c>
      <c r="D67" s="175" t="s">
        <v>5825</v>
      </c>
      <c r="E67" s="634" t="s">
        <v>309</v>
      </c>
      <c r="F67" s="635">
        <v>1</v>
      </c>
      <c r="G67" s="637"/>
      <c r="H67" s="629"/>
    </row>
    <row r="68" spans="2:8" s="64" customFormat="1">
      <c r="B68" s="153" t="s">
        <v>5826</v>
      </c>
      <c r="C68" s="622" t="s">
        <v>5710</v>
      </c>
      <c r="D68" s="175" t="s">
        <v>5827</v>
      </c>
      <c r="E68" s="634" t="s">
        <v>309</v>
      </c>
      <c r="F68" s="635">
        <v>1</v>
      </c>
      <c r="G68" s="637"/>
      <c r="H68" s="629"/>
    </row>
    <row r="69" spans="2:8" s="64" customFormat="1" ht="25.5">
      <c r="B69" s="153" t="s">
        <v>5828</v>
      </c>
      <c r="C69" s="622" t="s">
        <v>5710</v>
      </c>
      <c r="D69" s="175" t="s">
        <v>5829</v>
      </c>
      <c r="E69" s="634" t="s">
        <v>309</v>
      </c>
      <c r="F69" s="635">
        <v>1</v>
      </c>
      <c r="G69" s="637"/>
      <c r="H69" s="607"/>
    </row>
    <row r="70" spans="2:8" s="64" customFormat="1">
      <c r="B70" s="153" t="s">
        <v>5830</v>
      </c>
      <c r="C70" s="622" t="s">
        <v>5710</v>
      </c>
      <c r="D70" s="633" t="s">
        <v>5831</v>
      </c>
      <c r="E70" s="626" t="s">
        <v>309</v>
      </c>
      <c r="F70" s="627">
        <v>1</v>
      </c>
      <c r="G70" s="628"/>
      <c r="H70" s="629"/>
    </row>
    <row r="71" spans="2:8" s="64" customFormat="1">
      <c r="B71" s="153" t="s">
        <v>5832</v>
      </c>
      <c r="C71" s="622" t="s">
        <v>5710</v>
      </c>
      <c r="D71" s="638" t="s">
        <v>5833</v>
      </c>
      <c r="E71" s="639" t="s">
        <v>309</v>
      </c>
      <c r="F71" s="640">
        <v>1</v>
      </c>
      <c r="G71" s="628"/>
      <c r="H71" s="629"/>
    </row>
    <row r="72" spans="2:8" s="64" customFormat="1">
      <c r="B72" s="153" t="s">
        <v>5834</v>
      </c>
      <c r="C72" s="622" t="s">
        <v>5710</v>
      </c>
      <c r="D72" s="641" t="s">
        <v>5597</v>
      </c>
      <c r="E72" s="178" t="s">
        <v>309</v>
      </c>
      <c r="F72" s="582">
        <v>1</v>
      </c>
      <c r="G72" s="637"/>
      <c r="H72" s="607"/>
    </row>
    <row r="73" spans="2:8" ht="4.5" customHeight="1" thickBot="1">
      <c r="B73" s="105"/>
      <c r="C73" s="106"/>
      <c r="D73" s="106"/>
      <c r="E73" s="106"/>
      <c r="F73" s="106"/>
      <c r="G73" s="106"/>
      <c r="H73" s="107"/>
    </row>
    <row r="74" spans="2:8" ht="16.5" thickBot="1">
      <c r="B74" s="90" t="s">
        <v>5835</v>
      </c>
      <c r="C74" s="219"/>
      <c r="D74" s="131"/>
      <c r="E74" s="220"/>
      <c r="F74" s="604"/>
      <c r="G74" s="91"/>
      <c r="H74" s="605"/>
    </row>
    <row r="75" spans="2:8">
      <c r="B75" s="556" t="s">
        <v>4837</v>
      </c>
      <c r="C75" s="557"/>
      <c r="D75" s="557"/>
      <c r="E75" s="557"/>
      <c r="F75" s="557"/>
      <c r="G75" s="92"/>
    </row>
  </sheetData>
  <mergeCells count="1">
    <mergeCell ref="B75:F75"/>
  </mergeCells>
  <printOptions horizontalCentered="1"/>
  <pageMargins left="0.62992125984251968" right="0.23622047244094491" top="0.59055118110236227" bottom="0.47244094488188981" header="0.31496062992125984" footer="0.19685039370078741"/>
  <pageSetup paperSize="119" scale="74" fitToHeight="0" orientation="portrait" verticalDpi="1200" r:id="rId1"/>
  <headerFooter>
    <oddFooter>&amp;CPágina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I32"/>
  <sheetViews>
    <sheetView zoomScale="85" zoomScaleNormal="85" workbookViewId="0">
      <selection activeCell="N24" sqref="N24"/>
    </sheetView>
  </sheetViews>
  <sheetFormatPr defaultColWidth="9.140625" defaultRowHeight="12.75"/>
  <cols>
    <col min="1" max="1" width="1.140625" style="89" customWidth="1"/>
    <col min="2" max="2" width="9.42578125" style="89" customWidth="1"/>
    <col min="3" max="3" width="5.140625" style="89" bestFit="1" customWidth="1"/>
    <col min="4" max="4" width="70.28515625" style="89" bestFit="1" customWidth="1"/>
    <col min="5" max="5" width="8.5703125" style="89" customWidth="1"/>
    <col min="6" max="6" width="11.7109375" style="89" customWidth="1"/>
    <col min="7" max="8" width="12.5703125" style="89" customWidth="1"/>
    <col min="9" max="9" width="5" style="89" customWidth="1"/>
    <col min="10" max="251" width="11.42578125" style="89" customWidth="1"/>
    <col min="252" max="16384" width="9.140625" style="89"/>
  </cols>
  <sheetData>
    <row r="1" spans="2:9" s="58" customFormat="1">
      <c r="B1" s="71" t="s">
        <v>0</v>
      </c>
      <c r="C1" s="568"/>
      <c r="D1" s="568"/>
      <c r="E1" s="568"/>
      <c r="F1" s="568"/>
      <c r="G1" s="568"/>
      <c r="H1" s="568"/>
      <c r="I1" s="569"/>
    </row>
    <row r="2" spans="2:9" s="58" customFormat="1">
      <c r="B2" s="71" t="s">
        <v>1</v>
      </c>
      <c r="C2" s="568"/>
      <c r="D2" s="568"/>
      <c r="E2" s="568"/>
      <c r="F2" s="568"/>
      <c r="G2" s="568"/>
      <c r="H2" s="568"/>
      <c r="I2" s="569"/>
    </row>
    <row r="3" spans="2:9" s="58" customFormat="1" ht="25.5">
      <c r="B3" s="71" t="str">
        <f>+Resumen!B3</f>
        <v>SDP/00014311/573/2020 - OBRAS CIVILES, INSTALACIONES Y MANTENIMIENTO POSTERIOR - PALACIO DE JUSTICIA DE SALTO DEL GUAIRÁ.</v>
      </c>
      <c r="C3" s="568"/>
      <c r="D3" s="568"/>
      <c r="E3" s="568"/>
      <c r="F3" s="568"/>
      <c r="G3" s="568"/>
      <c r="H3" s="568"/>
      <c r="I3" s="569"/>
    </row>
    <row r="4" spans="2:9" s="58" customFormat="1" ht="5.25" customHeight="1" thickBot="1">
      <c r="B4" s="72"/>
      <c r="C4" s="73"/>
      <c r="D4" s="570"/>
      <c r="E4" s="570"/>
      <c r="F4" s="571"/>
      <c r="G4" s="572"/>
      <c r="H4" s="572"/>
      <c r="I4" s="569"/>
    </row>
    <row r="5" spans="2:9" s="58" customFormat="1" ht="18.75" thickBot="1">
      <c r="B5" s="74" t="s">
        <v>5836</v>
      </c>
      <c r="C5" s="573"/>
      <c r="D5" s="75"/>
      <c r="E5" s="573"/>
      <c r="F5" s="574"/>
      <c r="G5" s="575"/>
      <c r="H5" s="576"/>
      <c r="I5" s="569"/>
    </row>
    <row r="6" spans="2:9" s="58" customFormat="1">
      <c r="B6" s="76" t="s">
        <v>45</v>
      </c>
      <c r="C6" s="77" t="s">
        <v>46</v>
      </c>
      <c r="D6" s="77" t="s">
        <v>47</v>
      </c>
      <c r="E6" s="77" t="s">
        <v>48</v>
      </c>
      <c r="F6" s="78" t="s">
        <v>5361</v>
      </c>
      <c r="G6" s="79" t="s">
        <v>50</v>
      </c>
      <c r="H6" s="80" t="s">
        <v>6</v>
      </c>
      <c r="I6" s="569"/>
    </row>
    <row r="7" spans="2:9" s="58" customFormat="1" ht="13.5" thickBot="1">
      <c r="B7" s="93"/>
      <c r="C7" s="94" t="s">
        <v>51</v>
      </c>
      <c r="D7" s="94"/>
      <c r="E7" s="95"/>
      <c r="F7" s="96"/>
      <c r="G7" s="109" t="s">
        <v>8</v>
      </c>
      <c r="H7" s="110" t="s">
        <v>8</v>
      </c>
      <c r="I7" s="569"/>
    </row>
    <row r="8" spans="2:9" s="124" customFormat="1" ht="15" thickBot="1">
      <c r="B8" s="139" t="s">
        <v>4839</v>
      </c>
      <c r="C8" s="140"/>
      <c r="D8" s="140"/>
      <c r="E8" s="140"/>
      <c r="F8" s="140"/>
      <c r="G8" s="140"/>
      <c r="H8" s="152"/>
    </row>
    <row r="9" spans="2:9" s="64" customFormat="1">
      <c r="B9" s="153" t="s">
        <v>5837</v>
      </c>
      <c r="C9" s="178" t="s">
        <v>5838</v>
      </c>
      <c r="D9" s="176" t="s">
        <v>5839</v>
      </c>
      <c r="E9" s="178" t="s">
        <v>99</v>
      </c>
      <c r="F9" s="582">
        <v>1</v>
      </c>
      <c r="G9" s="642"/>
      <c r="H9" s="643"/>
      <c r="I9" s="181"/>
    </row>
    <row r="10" spans="2:9" s="64" customFormat="1" ht="25.5">
      <c r="B10" s="153" t="s">
        <v>5840</v>
      </c>
      <c r="C10" s="178" t="s">
        <v>5838</v>
      </c>
      <c r="D10" s="176" t="s">
        <v>5841</v>
      </c>
      <c r="E10" s="178" t="s">
        <v>99</v>
      </c>
      <c r="F10" s="582">
        <v>16</v>
      </c>
      <c r="G10" s="642"/>
      <c r="H10" s="643"/>
      <c r="I10" s="181"/>
    </row>
    <row r="11" spans="2:9" s="64" customFormat="1" ht="25.5">
      <c r="B11" s="153" t="s">
        <v>5842</v>
      </c>
      <c r="C11" s="178" t="s">
        <v>5838</v>
      </c>
      <c r="D11" s="176" t="s">
        <v>5843</v>
      </c>
      <c r="E11" s="178" t="s">
        <v>99</v>
      </c>
      <c r="F11" s="582">
        <v>5</v>
      </c>
      <c r="G11" s="642"/>
      <c r="H11" s="643"/>
      <c r="I11" s="181"/>
    </row>
    <row r="12" spans="2:9" s="64" customFormat="1">
      <c r="B12" s="153" t="s">
        <v>5844</v>
      </c>
      <c r="C12" s="178" t="s">
        <v>5838</v>
      </c>
      <c r="D12" s="176" t="s">
        <v>5845</v>
      </c>
      <c r="E12" s="178" t="s">
        <v>99</v>
      </c>
      <c r="F12" s="582">
        <v>1</v>
      </c>
      <c r="G12" s="642"/>
      <c r="H12" s="643"/>
      <c r="I12" s="181"/>
    </row>
    <row r="13" spans="2:9" s="64" customFormat="1">
      <c r="B13" s="153" t="s">
        <v>5846</v>
      </c>
      <c r="C13" s="178" t="s">
        <v>5838</v>
      </c>
      <c r="D13" s="177" t="s">
        <v>5847</v>
      </c>
      <c r="E13" s="644" t="s">
        <v>99</v>
      </c>
      <c r="F13" s="645">
        <v>22</v>
      </c>
      <c r="G13" s="646"/>
      <c r="H13" s="647"/>
      <c r="I13" s="181"/>
    </row>
    <row r="14" spans="2:9" s="64" customFormat="1" ht="13.5" thickBot="1">
      <c r="B14" s="153" t="s">
        <v>5848</v>
      </c>
      <c r="C14" s="178" t="s">
        <v>5849</v>
      </c>
      <c r="D14" s="177" t="s">
        <v>5850</v>
      </c>
      <c r="E14" s="644" t="s">
        <v>99</v>
      </c>
      <c r="F14" s="645">
        <v>10</v>
      </c>
      <c r="G14" s="646"/>
      <c r="H14" s="647"/>
      <c r="I14" s="181"/>
    </row>
    <row r="15" spans="2:9" s="124" customFormat="1" ht="15" thickBot="1">
      <c r="B15" s="139" t="s">
        <v>4919</v>
      </c>
      <c r="C15" s="140"/>
      <c r="D15" s="140"/>
      <c r="E15" s="159"/>
      <c r="F15" s="159"/>
      <c r="G15" s="159"/>
      <c r="H15" s="160"/>
      <c r="I15" s="161"/>
    </row>
    <row r="16" spans="2:9" s="64" customFormat="1" ht="63.75">
      <c r="B16" s="153" t="s">
        <v>5851</v>
      </c>
      <c r="C16" s="178" t="s">
        <v>5838</v>
      </c>
      <c r="D16" s="145" t="s">
        <v>5852</v>
      </c>
      <c r="E16" s="178" t="s">
        <v>99</v>
      </c>
      <c r="F16" s="582">
        <v>5</v>
      </c>
      <c r="G16" s="583"/>
      <c r="H16" s="643"/>
      <c r="I16" s="181"/>
    </row>
    <row r="17" spans="2:8" s="64" customFormat="1">
      <c r="B17" s="153" t="s">
        <v>5853</v>
      </c>
      <c r="C17" s="178" t="s">
        <v>5838</v>
      </c>
      <c r="D17" s="145" t="s">
        <v>5854</v>
      </c>
      <c r="E17" s="178" t="s">
        <v>99</v>
      </c>
      <c r="F17" s="582">
        <v>9</v>
      </c>
      <c r="G17" s="583"/>
      <c r="H17" s="643"/>
    </row>
    <row r="18" spans="2:8" s="64" customFormat="1">
      <c r="B18" s="153" t="s">
        <v>5855</v>
      </c>
      <c r="C18" s="178" t="s">
        <v>5838</v>
      </c>
      <c r="D18" s="149" t="s">
        <v>5856</v>
      </c>
      <c r="E18" s="130" t="s">
        <v>99</v>
      </c>
      <c r="F18" s="582">
        <f>(F10*2)+F11</f>
        <v>37</v>
      </c>
      <c r="G18" s="583"/>
      <c r="H18" s="643"/>
    </row>
    <row r="19" spans="2:8" s="64" customFormat="1">
      <c r="B19" s="153" t="s">
        <v>5857</v>
      </c>
      <c r="C19" s="178" t="s">
        <v>5838</v>
      </c>
      <c r="D19" s="145" t="s">
        <v>5858</v>
      </c>
      <c r="E19" s="178" t="s">
        <v>209</v>
      </c>
      <c r="F19" s="582">
        <f>+(F23+F24)*50</f>
        <v>37500</v>
      </c>
      <c r="G19" s="583"/>
      <c r="H19" s="643"/>
    </row>
    <row r="20" spans="2:8" s="64" customFormat="1" ht="25.5">
      <c r="B20" s="153" t="s">
        <v>5859</v>
      </c>
      <c r="C20" s="178" t="s">
        <v>5838</v>
      </c>
      <c r="D20" s="145" t="s">
        <v>5860</v>
      </c>
      <c r="E20" s="178" t="s">
        <v>209</v>
      </c>
      <c r="F20" s="582">
        <f>+(35+40+45+50+55+60+65+70+75+135)*2</f>
        <v>1260</v>
      </c>
      <c r="G20" s="583"/>
      <c r="H20" s="643"/>
    </row>
    <row r="21" spans="2:8" s="64" customFormat="1" ht="25.5">
      <c r="B21" s="153" t="s">
        <v>5861</v>
      </c>
      <c r="C21" s="178" t="s">
        <v>5838</v>
      </c>
      <c r="D21" s="145" t="s">
        <v>5862</v>
      </c>
      <c r="E21" s="178" t="s">
        <v>99</v>
      </c>
      <c r="F21" s="582">
        <f>+F17+1</f>
        <v>10</v>
      </c>
      <c r="G21" s="583"/>
      <c r="H21" s="643"/>
    </row>
    <row r="22" spans="2:8" s="64" customFormat="1">
      <c r="B22" s="153" t="s">
        <v>5863</v>
      </c>
      <c r="C22" s="178" t="s">
        <v>5838</v>
      </c>
      <c r="D22" s="145" t="s">
        <v>5864</v>
      </c>
      <c r="E22" s="178" t="s">
        <v>99</v>
      </c>
      <c r="F22" s="582">
        <f>+F21*4</f>
        <v>40</v>
      </c>
      <c r="G22" s="583"/>
      <c r="H22" s="643"/>
    </row>
    <row r="23" spans="2:8" s="64" customFormat="1">
      <c r="B23" s="153" t="s">
        <v>5865</v>
      </c>
      <c r="C23" s="178" t="s">
        <v>5838</v>
      </c>
      <c r="D23" s="145" t="s">
        <v>5866</v>
      </c>
      <c r="E23" s="178" t="s">
        <v>99</v>
      </c>
      <c r="F23" s="582">
        <f>36+162+87+122+110+95+62+45+31-F24</f>
        <v>738</v>
      </c>
      <c r="G23" s="583"/>
      <c r="H23" s="643"/>
    </row>
    <row r="24" spans="2:8" s="64" customFormat="1" ht="25.5">
      <c r="B24" s="153" t="s">
        <v>5867</v>
      </c>
      <c r="C24" s="178" t="s">
        <v>5838</v>
      </c>
      <c r="D24" s="145" t="s">
        <v>5868</v>
      </c>
      <c r="E24" s="178" t="s">
        <v>99</v>
      </c>
      <c r="F24" s="582">
        <v>12</v>
      </c>
      <c r="G24" s="583"/>
      <c r="H24" s="643"/>
    </row>
    <row r="25" spans="2:8" s="64" customFormat="1">
      <c r="B25" s="153" t="s">
        <v>5869</v>
      </c>
      <c r="C25" s="178" t="s">
        <v>5838</v>
      </c>
      <c r="D25" s="145" t="s">
        <v>5870</v>
      </c>
      <c r="E25" s="178" t="s">
        <v>99</v>
      </c>
      <c r="F25" s="582">
        <f>+(F18*24)</f>
        <v>888</v>
      </c>
      <c r="G25" s="583"/>
      <c r="H25" s="643"/>
    </row>
    <row r="26" spans="2:8" s="64" customFormat="1">
      <c r="B26" s="153" t="s">
        <v>5871</v>
      </c>
      <c r="C26" s="178" t="s">
        <v>5838</v>
      </c>
      <c r="D26" s="145" t="s">
        <v>5872</v>
      </c>
      <c r="E26" s="178" t="s">
        <v>99</v>
      </c>
      <c r="F26" s="582">
        <f>+F23+F24</f>
        <v>750</v>
      </c>
      <c r="G26" s="583"/>
      <c r="H26" s="643"/>
    </row>
    <row r="27" spans="2:8" s="64" customFormat="1">
      <c r="B27" s="153" t="s">
        <v>5873</v>
      </c>
      <c r="C27" s="178" t="s">
        <v>5838</v>
      </c>
      <c r="D27" s="145" t="s">
        <v>5874</v>
      </c>
      <c r="E27" s="178" t="s">
        <v>309</v>
      </c>
      <c r="F27" s="582">
        <v>1</v>
      </c>
      <c r="G27" s="583"/>
      <c r="H27" s="643"/>
    </row>
    <row r="28" spans="2:8" s="64" customFormat="1">
      <c r="B28" s="153" t="s">
        <v>5875</v>
      </c>
      <c r="C28" s="178" t="s">
        <v>5838</v>
      </c>
      <c r="D28" s="145" t="s">
        <v>5876</v>
      </c>
      <c r="E28" s="178" t="s">
        <v>309</v>
      </c>
      <c r="F28" s="582">
        <v>1</v>
      </c>
      <c r="G28" s="583"/>
      <c r="H28" s="643"/>
    </row>
    <row r="29" spans="2:8" s="64" customFormat="1">
      <c r="B29" s="153" t="s">
        <v>5877</v>
      </c>
      <c r="C29" s="178" t="s">
        <v>5838</v>
      </c>
      <c r="D29" s="145" t="s">
        <v>5878</v>
      </c>
      <c r="E29" s="178" t="s">
        <v>309</v>
      </c>
      <c r="F29" s="582">
        <v>1</v>
      </c>
      <c r="G29" s="583"/>
      <c r="H29" s="643"/>
    </row>
    <row r="30" spans="2:8" s="64" customFormat="1" ht="4.5" customHeight="1" thickBot="1">
      <c r="B30" s="648"/>
      <c r="C30" s="649"/>
      <c r="D30" s="650"/>
      <c r="E30" s="649"/>
      <c r="F30" s="651"/>
      <c r="G30" s="651"/>
      <c r="H30" s="652"/>
    </row>
    <row r="31" spans="2:8" ht="16.5" thickBot="1">
      <c r="B31" s="90" t="s">
        <v>5879</v>
      </c>
      <c r="C31" s="219"/>
      <c r="D31" s="131"/>
      <c r="E31" s="220"/>
      <c r="F31" s="604"/>
      <c r="G31" s="91"/>
      <c r="H31" s="605"/>
    </row>
    <row r="32" spans="2:8">
      <c r="B32" s="556" t="s">
        <v>4837</v>
      </c>
      <c r="C32" s="557"/>
      <c r="D32" s="557"/>
      <c r="E32" s="557"/>
      <c r="F32" s="557"/>
      <c r="G32" s="92"/>
    </row>
  </sheetData>
  <mergeCells count="1">
    <mergeCell ref="B32:F32"/>
  </mergeCells>
  <printOptions horizontalCentered="1"/>
  <pageMargins left="0.62992125984251968" right="0.23622047244094491" top="0.59055118110236227" bottom="0.47244094488188981" header="0.31496062992125984" footer="0.11811023622047245"/>
  <pageSetup paperSize="119" scale="74" fitToHeight="0" orientation="portrait" verticalDpi="1200" r:id="rId1"/>
  <headerFooter>
    <oddFooter>&amp;CPágina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66"/>
  <sheetViews>
    <sheetView zoomScale="85" zoomScaleNormal="85" workbookViewId="0">
      <selection activeCell="D20" sqref="D20"/>
    </sheetView>
  </sheetViews>
  <sheetFormatPr defaultColWidth="9.140625" defaultRowHeight="12.75"/>
  <cols>
    <col min="1" max="1" width="1.140625" style="89" customWidth="1"/>
    <col min="2" max="2" width="11.28515625" style="89" customWidth="1"/>
    <col min="3" max="3" width="6.5703125" style="89" customWidth="1"/>
    <col min="4" max="4" width="70.28515625" style="89" bestFit="1" customWidth="1"/>
    <col min="5" max="5" width="8.5703125" style="89" customWidth="1"/>
    <col min="6" max="6" width="11.7109375" style="89" customWidth="1"/>
    <col min="7" max="8" width="12.5703125" style="89" customWidth="1"/>
    <col min="9" max="9" width="3" style="89" customWidth="1"/>
    <col min="10" max="251" width="11.42578125" style="89" customWidth="1"/>
    <col min="252" max="16384" width="9.140625" style="89"/>
  </cols>
  <sheetData>
    <row r="1" spans="2:8" s="58" customFormat="1">
      <c r="B1" s="71" t="s">
        <v>0</v>
      </c>
      <c r="C1" s="568"/>
      <c r="D1" s="568"/>
      <c r="E1" s="568"/>
      <c r="F1" s="568"/>
      <c r="G1" s="568"/>
      <c r="H1" s="568"/>
    </row>
    <row r="2" spans="2:8" s="58" customFormat="1">
      <c r="B2" s="71" t="s">
        <v>1</v>
      </c>
      <c r="C2" s="568"/>
      <c r="D2" s="568"/>
      <c r="E2" s="568"/>
      <c r="F2" s="568"/>
      <c r="G2" s="568"/>
      <c r="H2" s="568"/>
    </row>
    <row r="3" spans="2:8" s="58" customFormat="1">
      <c r="B3" s="71" t="str">
        <f>+Resumen!B3</f>
        <v>SDP/00014311/573/2020 - OBRAS CIVILES, INSTALACIONES Y MANTENIMIENTO POSTERIOR - PALACIO DE JUSTICIA DE SALTO DEL GUAIRÁ.</v>
      </c>
      <c r="C3" s="568"/>
      <c r="D3" s="568"/>
      <c r="E3" s="568"/>
      <c r="F3" s="568"/>
      <c r="G3" s="568"/>
      <c r="H3" s="568"/>
    </row>
    <row r="4" spans="2:8" s="58" customFormat="1" ht="5.25" customHeight="1" thickBot="1">
      <c r="B4" s="72"/>
      <c r="C4" s="73"/>
      <c r="D4" s="570"/>
      <c r="E4" s="570"/>
      <c r="F4" s="571"/>
      <c r="G4" s="572"/>
      <c r="H4" s="572"/>
    </row>
    <row r="5" spans="2:8" s="58" customFormat="1" ht="18.75" thickBot="1">
      <c r="B5" s="74" t="s">
        <v>5880</v>
      </c>
      <c r="C5" s="573"/>
      <c r="D5" s="75"/>
      <c r="E5" s="573"/>
      <c r="F5" s="574"/>
      <c r="G5" s="575"/>
      <c r="H5" s="576"/>
    </row>
    <row r="6" spans="2:8" s="58" customFormat="1">
      <c r="B6" s="76" t="s">
        <v>45</v>
      </c>
      <c r="C6" s="77" t="s">
        <v>46</v>
      </c>
      <c r="D6" s="77" t="s">
        <v>47</v>
      </c>
      <c r="E6" s="77" t="s">
        <v>48</v>
      </c>
      <c r="F6" s="78" t="s">
        <v>5361</v>
      </c>
      <c r="G6" s="79" t="s">
        <v>50</v>
      </c>
      <c r="H6" s="80" t="s">
        <v>6</v>
      </c>
    </row>
    <row r="7" spans="2:8" s="58" customFormat="1" ht="13.5" thickBot="1">
      <c r="B7" s="93"/>
      <c r="C7" s="94" t="s">
        <v>51</v>
      </c>
      <c r="D7" s="94"/>
      <c r="E7" s="95"/>
      <c r="F7" s="96"/>
      <c r="G7" s="109" t="s">
        <v>8</v>
      </c>
      <c r="H7" s="110" t="s">
        <v>8</v>
      </c>
    </row>
    <row r="8" spans="2:8" s="124" customFormat="1" ht="15" thickBot="1">
      <c r="B8" s="139" t="s">
        <v>4839</v>
      </c>
      <c r="C8" s="140"/>
      <c r="D8" s="140"/>
      <c r="E8" s="140"/>
      <c r="F8" s="140"/>
      <c r="G8" s="140"/>
      <c r="H8" s="152"/>
    </row>
    <row r="9" spans="2:8" s="64" customFormat="1" ht="16.5" thickBot="1">
      <c r="B9" s="166" t="s">
        <v>5881</v>
      </c>
      <c r="C9" s="111"/>
      <c r="D9" s="111"/>
      <c r="E9" s="111"/>
      <c r="F9" s="111"/>
      <c r="G9" s="111"/>
      <c r="H9" s="614"/>
    </row>
    <row r="10" spans="2:8" s="4" customFormat="1" ht="51">
      <c r="B10" s="153" t="s">
        <v>5882</v>
      </c>
      <c r="C10" s="653" t="s">
        <v>5849</v>
      </c>
      <c r="D10" s="179" t="s">
        <v>5883</v>
      </c>
      <c r="E10" s="114" t="s">
        <v>99</v>
      </c>
      <c r="F10" s="582">
        <v>2</v>
      </c>
      <c r="G10" s="115"/>
      <c r="H10" s="116"/>
    </row>
    <row r="11" spans="2:8" s="4" customFormat="1">
      <c r="B11" s="153" t="s">
        <v>5884</v>
      </c>
      <c r="C11" s="653" t="s">
        <v>5849</v>
      </c>
      <c r="D11" s="179" t="s">
        <v>5885</v>
      </c>
      <c r="E11" s="114" t="s">
        <v>99</v>
      </c>
      <c r="F11" s="582">
        <v>2</v>
      </c>
      <c r="G11" s="115"/>
      <c r="H11" s="116"/>
    </row>
    <row r="12" spans="2:8" s="4" customFormat="1" ht="25.5">
      <c r="B12" s="153" t="s">
        <v>5886</v>
      </c>
      <c r="C12" s="653" t="s">
        <v>5849</v>
      </c>
      <c r="D12" s="179" t="s">
        <v>5887</v>
      </c>
      <c r="E12" s="114" t="s">
        <v>99</v>
      </c>
      <c r="F12" s="582">
        <v>2</v>
      </c>
      <c r="G12" s="115"/>
      <c r="H12" s="116"/>
    </row>
    <row r="13" spans="2:8" s="4" customFormat="1" ht="13.5" thickBot="1">
      <c r="B13" s="153" t="s">
        <v>5888</v>
      </c>
      <c r="C13" s="653" t="s">
        <v>5849</v>
      </c>
      <c r="D13" s="179" t="s">
        <v>5889</v>
      </c>
      <c r="E13" s="114" t="s">
        <v>309</v>
      </c>
      <c r="F13" s="582">
        <v>1</v>
      </c>
      <c r="G13" s="115"/>
      <c r="H13" s="116"/>
    </row>
    <row r="14" spans="2:8" s="64" customFormat="1" ht="16.5" thickBot="1">
      <c r="B14" s="166" t="s">
        <v>5890</v>
      </c>
      <c r="C14" s="111"/>
      <c r="D14" s="111"/>
      <c r="E14" s="111"/>
      <c r="F14" s="111"/>
      <c r="G14" s="111"/>
      <c r="H14" s="614"/>
    </row>
    <row r="15" spans="2:8" s="4" customFormat="1" ht="51">
      <c r="B15" s="153" t="s">
        <v>5891</v>
      </c>
      <c r="C15" s="653" t="s">
        <v>5849</v>
      </c>
      <c r="D15" s="179" t="s">
        <v>5892</v>
      </c>
      <c r="E15" s="114" t="s">
        <v>99</v>
      </c>
      <c r="F15" s="582">
        <v>2</v>
      </c>
      <c r="G15" s="115"/>
      <c r="H15" s="116"/>
    </row>
    <row r="16" spans="2:8" s="4" customFormat="1">
      <c r="B16" s="153" t="s">
        <v>5893</v>
      </c>
      <c r="C16" s="653" t="s">
        <v>5849</v>
      </c>
      <c r="D16" s="179" t="s">
        <v>5885</v>
      </c>
      <c r="E16" s="114" t="s">
        <v>99</v>
      </c>
      <c r="F16" s="582">
        <v>2</v>
      </c>
      <c r="G16" s="115"/>
      <c r="H16" s="116"/>
    </row>
    <row r="17" spans="2:9" s="4" customFormat="1" ht="25.5">
      <c r="B17" s="153" t="s">
        <v>5894</v>
      </c>
      <c r="C17" s="653" t="s">
        <v>5849</v>
      </c>
      <c r="D17" s="179" t="s">
        <v>5887</v>
      </c>
      <c r="E17" s="114" t="s">
        <v>99</v>
      </c>
      <c r="F17" s="582">
        <v>2</v>
      </c>
      <c r="G17" s="115"/>
      <c r="H17" s="116"/>
      <c r="I17" s="654"/>
    </row>
    <row r="18" spans="2:9" s="4" customFormat="1" ht="13.5" thickBot="1">
      <c r="B18" s="153" t="s">
        <v>5895</v>
      </c>
      <c r="C18" s="653" t="s">
        <v>5849</v>
      </c>
      <c r="D18" s="179" t="s">
        <v>5889</v>
      </c>
      <c r="E18" s="114" t="s">
        <v>309</v>
      </c>
      <c r="F18" s="582">
        <v>1</v>
      </c>
      <c r="G18" s="115"/>
      <c r="H18" s="116"/>
      <c r="I18" s="654"/>
    </row>
    <row r="19" spans="2:9" s="64" customFormat="1" ht="16.5" thickBot="1">
      <c r="B19" s="166" t="s">
        <v>5896</v>
      </c>
      <c r="C19" s="111"/>
      <c r="D19" s="111"/>
      <c r="E19" s="111"/>
      <c r="F19" s="111"/>
      <c r="G19" s="111"/>
      <c r="H19" s="614"/>
      <c r="I19" s="181"/>
    </row>
    <row r="20" spans="2:9" s="4" customFormat="1" ht="51">
      <c r="B20" s="153" t="s">
        <v>5897</v>
      </c>
      <c r="C20" s="653" t="s">
        <v>5849</v>
      </c>
      <c r="D20" s="179" t="s">
        <v>5898</v>
      </c>
      <c r="E20" s="114" t="s">
        <v>99</v>
      </c>
      <c r="F20" s="582">
        <v>1</v>
      </c>
      <c r="G20" s="115"/>
      <c r="H20" s="116"/>
      <c r="I20" s="654"/>
    </row>
    <row r="21" spans="2:9" s="4" customFormat="1">
      <c r="B21" s="153" t="s">
        <v>5899</v>
      </c>
      <c r="C21" s="653" t="s">
        <v>5849</v>
      </c>
      <c r="D21" s="179" t="s">
        <v>5885</v>
      </c>
      <c r="E21" s="114" t="s">
        <v>99</v>
      </c>
      <c r="F21" s="582">
        <v>1</v>
      </c>
      <c r="G21" s="115"/>
      <c r="H21" s="116"/>
      <c r="I21" s="654"/>
    </row>
    <row r="22" spans="2:9" s="4" customFormat="1" ht="25.5">
      <c r="B22" s="153" t="s">
        <v>5900</v>
      </c>
      <c r="C22" s="653" t="s">
        <v>5849</v>
      </c>
      <c r="D22" s="179" t="s">
        <v>5887</v>
      </c>
      <c r="E22" s="114" t="s">
        <v>99</v>
      </c>
      <c r="F22" s="582">
        <v>1</v>
      </c>
      <c r="G22" s="115"/>
      <c r="H22" s="116"/>
      <c r="I22" s="654"/>
    </row>
    <row r="23" spans="2:9" s="4" customFormat="1" ht="13.5" thickBot="1">
      <c r="B23" s="153" t="s">
        <v>5901</v>
      </c>
      <c r="C23" s="653" t="s">
        <v>5849</v>
      </c>
      <c r="D23" s="179" t="s">
        <v>5889</v>
      </c>
      <c r="E23" s="114" t="s">
        <v>309</v>
      </c>
      <c r="F23" s="582">
        <v>1</v>
      </c>
      <c r="G23" s="115"/>
      <c r="H23" s="116"/>
      <c r="I23" s="654"/>
    </row>
    <row r="24" spans="2:9" s="64" customFormat="1" ht="16.5" thickBot="1">
      <c r="B24" s="166" t="s">
        <v>5902</v>
      </c>
      <c r="C24" s="111"/>
      <c r="D24" s="111"/>
      <c r="E24" s="111"/>
      <c r="F24" s="111"/>
      <c r="G24" s="111"/>
      <c r="H24" s="614"/>
      <c r="I24" s="181"/>
    </row>
    <row r="25" spans="2:9" s="4" customFormat="1" ht="51">
      <c r="B25" s="153" t="s">
        <v>5903</v>
      </c>
      <c r="C25" s="653" t="s">
        <v>5849</v>
      </c>
      <c r="D25" s="179" t="s">
        <v>5904</v>
      </c>
      <c r="E25" s="114" t="s">
        <v>99</v>
      </c>
      <c r="F25" s="582">
        <v>1</v>
      </c>
      <c r="G25" s="115"/>
      <c r="H25" s="116"/>
      <c r="I25" s="654"/>
    </row>
    <row r="26" spans="2:9" s="4" customFormat="1">
      <c r="B26" s="153" t="s">
        <v>5905</v>
      </c>
      <c r="C26" s="653" t="s">
        <v>5849</v>
      </c>
      <c r="D26" s="179" t="s">
        <v>5885</v>
      </c>
      <c r="E26" s="114" t="s">
        <v>99</v>
      </c>
      <c r="F26" s="582">
        <v>1</v>
      </c>
      <c r="G26" s="115"/>
      <c r="H26" s="116"/>
      <c r="I26" s="654"/>
    </row>
    <row r="27" spans="2:9" s="4" customFormat="1" ht="25.5">
      <c r="B27" s="153" t="s">
        <v>5906</v>
      </c>
      <c r="C27" s="653" t="s">
        <v>5849</v>
      </c>
      <c r="D27" s="179" t="s">
        <v>5887</v>
      </c>
      <c r="E27" s="114" t="s">
        <v>99</v>
      </c>
      <c r="F27" s="582">
        <v>1</v>
      </c>
      <c r="G27" s="115"/>
      <c r="H27" s="116"/>
      <c r="I27" s="654"/>
    </row>
    <row r="28" spans="2:9" s="4" customFormat="1" ht="13.5" thickBot="1">
      <c r="B28" s="153" t="s">
        <v>5907</v>
      </c>
      <c r="C28" s="653" t="s">
        <v>5849</v>
      </c>
      <c r="D28" s="179" t="s">
        <v>5889</v>
      </c>
      <c r="E28" s="114" t="s">
        <v>309</v>
      </c>
      <c r="F28" s="582">
        <v>1</v>
      </c>
      <c r="G28" s="115"/>
      <c r="H28" s="116"/>
      <c r="I28" s="654"/>
    </row>
    <row r="29" spans="2:9" s="124" customFormat="1" ht="15" thickBot="1">
      <c r="B29" s="139" t="s">
        <v>4919</v>
      </c>
      <c r="C29" s="140"/>
      <c r="D29" s="140"/>
      <c r="E29" s="159"/>
      <c r="F29" s="159"/>
      <c r="G29" s="159"/>
      <c r="H29" s="160"/>
      <c r="I29" s="161"/>
    </row>
    <row r="30" spans="2:9" s="64" customFormat="1" ht="16.5" thickBot="1">
      <c r="B30" s="166" t="s">
        <v>5881</v>
      </c>
      <c r="C30" s="111"/>
      <c r="D30" s="111"/>
      <c r="E30" s="111"/>
      <c r="F30" s="111"/>
      <c r="G30" s="111"/>
      <c r="H30" s="614"/>
      <c r="I30" s="181"/>
    </row>
    <row r="31" spans="2:9" s="4" customFormat="1" ht="25.5">
      <c r="B31" s="153" t="s">
        <v>5908</v>
      </c>
      <c r="C31" s="653" t="s">
        <v>5849</v>
      </c>
      <c r="D31" s="179" t="s">
        <v>5909</v>
      </c>
      <c r="E31" s="178" t="s">
        <v>99</v>
      </c>
      <c r="F31" s="465">
        <v>2</v>
      </c>
      <c r="G31" s="115"/>
      <c r="H31" s="116"/>
      <c r="I31" s="654"/>
    </row>
    <row r="32" spans="2:9" s="4" customFormat="1" ht="51">
      <c r="B32" s="153" t="s">
        <v>5910</v>
      </c>
      <c r="C32" s="653" t="s">
        <v>5849</v>
      </c>
      <c r="D32" s="179" t="s">
        <v>5911</v>
      </c>
      <c r="E32" s="178" t="s">
        <v>99</v>
      </c>
      <c r="F32" s="465">
        <v>2</v>
      </c>
      <c r="G32" s="115"/>
      <c r="H32" s="116"/>
      <c r="I32" s="654"/>
    </row>
    <row r="33" spans="2:8" s="4" customFormat="1">
      <c r="B33" s="153" t="s">
        <v>5912</v>
      </c>
      <c r="C33" s="653" t="s">
        <v>5849</v>
      </c>
      <c r="D33" s="179" t="s">
        <v>5913</v>
      </c>
      <c r="E33" s="178" t="s">
        <v>99</v>
      </c>
      <c r="F33" s="465">
        <f>8*2</f>
        <v>16</v>
      </c>
      <c r="G33" s="115"/>
      <c r="H33" s="116"/>
    </row>
    <row r="34" spans="2:8" s="4" customFormat="1">
      <c r="B34" s="153" t="s">
        <v>5914</v>
      </c>
      <c r="C34" s="653" t="s">
        <v>5849</v>
      </c>
      <c r="D34" s="179" t="s">
        <v>5915</v>
      </c>
      <c r="E34" s="178" t="s">
        <v>99</v>
      </c>
      <c r="F34" s="465">
        <v>2</v>
      </c>
      <c r="G34" s="115"/>
      <c r="H34" s="116"/>
    </row>
    <row r="35" spans="2:8" s="4" customFormat="1">
      <c r="B35" s="153" t="s">
        <v>5916</v>
      </c>
      <c r="C35" s="653" t="s">
        <v>5849</v>
      </c>
      <c r="D35" s="179" t="s">
        <v>5917</v>
      </c>
      <c r="E35" s="178" t="s">
        <v>99</v>
      </c>
      <c r="F35" s="465">
        <f>8*2</f>
        <v>16</v>
      </c>
      <c r="G35" s="115"/>
      <c r="H35" s="116"/>
    </row>
    <row r="36" spans="2:8" s="4" customFormat="1" ht="13.5" thickBot="1">
      <c r="B36" s="153" t="s">
        <v>5918</v>
      </c>
      <c r="C36" s="653" t="s">
        <v>5849</v>
      </c>
      <c r="D36" s="179" t="s">
        <v>5919</v>
      </c>
      <c r="E36" s="178" t="s">
        <v>99</v>
      </c>
      <c r="F36" s="465">
        <v>2</v>
      </c>
      <c r="G36" s="115"/>
      <c r="H36" s="116"/>
    </row>
    <row r="37" spans="2:8" s="64" customFormat="1" ht="16.5" thickBot="1">
      <c r="B37" s="166" t="s">
        <v>5890</v>
      </c>
      <c r="C37" s="111"/>
      <c r="D37" s="111"/>
      <c r="E37" s="111"/>
      <c r="F37" s="111"/>
      <c r="G37" s="111"/>
      <c r="H37" s="614"/>
    </row>
    <row r="38" spans="2:8" s="4" customFormat="1" ht="25.5">
      <c r="B38" s="153" t="s">
        <v>5891</v>
      </c>
      <c r="C38" s="653" t="s">
        <v>5849</v>
      </c>
      <c r="D38" s="179" t="s">
        <v>5909</v>
      </c>
      <c r="E38" s="178" t="s">
        <v>99</v>
      </c>
      <c r="F38" s="465">
        <v>2</v>
      </c>
      <c r="G38" s="115"/>
      <c r="H38" s="116"/>
    </row>
    <row r="39" spans="2:8" s="4" customFormat="1" ht="51">
      <c r="B39" s="153" t="s">
        <v>5893</v>
      </c>
      <c r="C39" s="653" t="s">
        <v>5849</v>
      </c>
      <c r="D39" s="179" t="s">
        <v>5911</v>
      </c>
      <c r="E39" s="178" t="s">
        <v>99</v>
      </c>
      <c r="F39" s="465">
        <v>2</v>
      </c>
      <c r="G39" s="115"/>
      <c r="H39" s="116"/>
    </row>
    <row r="40" spans="2:8" s="4" customFormat="1">
      <c r="B40" s="153" t="s">
        <v>5894</v>
      </c>
      <c r="C40" s="653" t="s">
        <v>5849</v>
      </c>
      <c r="D40" s="179" t="s">
        <v>5913</v>
      </c>
      <c r="E40" s="178" t="s">
        <v>99</v>
      </c>
      <c r="F40" s="465">
        <f>7*2</f>
        <v>14</v>
      </c>
      <c r="G40" s="115"/>
      <c r="H40" s="116"/>
    </row>
    <row r="41" spans="2:8" s="4" customFormat="1">
      <c r="B41" s="153" t="s">
        <v>5895</v>
      </c>
      <c r="C41" s="653" t="s">
        <v>5849</v>
      </c>
      <c r="D41" s="179" t="s">
        <v>5915</v>
      </c>
      <c r="E41" s="178" t="s">
        <v>99</v>
      </c>
      <c r="F41" s="465">
        <v>2</v>
      </c>
      <c r="G41" s="115"/>
      <c r="H41" s="116"/>
    </row>
    <row r="42" spans="2:8" s="4" customFormat="1">
      <c r="B42" s="153" t="s">
        <v>5920</v>
      </c>
      <c r="C42" s="653" t="s">
        <v>5849</v>
      </c>
      <c r="D42" s="179" t="s">
        <v>5917</v>
      </c>
      <c r="E42" s="178" t="s">
        <v>99</v>
      </c>
      <c r="F42" s="465">
        <f>7*2</f>
        <v>14</v>
      </c>
      <c r="G42" s="115"/>
      <c r="H42" s="116"/>
    </row>
    <row r="43" spans="2:8" s="4" customFormat="1" ht="13.5" thickBot="1">
      <c r="B43" s="153" t="s">
        <v>5921</v>
      </c>
      <c r="C43" s="653" t="s">
        <v>5849</v>
      </c>
      <c r="D43" s="179" t="s">
        <v>5919</v>
      </c>
      <c r="E43" s="178" t="s">
        <v>99</v>
      </c>
      <c r="F43" s="465">
        <v>2</v>
      </c>
      <c r="G43" s="115"/>
      <c r="H43" s="116"/>
    </row>
    <row r="44" spans="2:8" s="64" customFormat="1" ht="16.5" thickBot="1">
      <c r="B44" s="166" t="s">
        <v>5896</v>
      </c>
      <c r="C44" s="111"/>
      <c r="D44" s="111"/>
      <c r="E44" s="111"/>
      <c r="F44" s="111"/>
      <c r="G44" s="111"/>
      <c r="H44" s="614"/>
    </row>
    <row r="45" spans="2:8" s="4" customFormat="1" ht="25.5">
      <c r="B45" s="153" t="s">
        <v>5897</v>
      </c>
      <c r="C45" s="653" t="s">
        <v>5849</v>
      </c>
      <c r="D45" s="179" t="s">
        <v>5909</v>
      </c>
      <c r="E45" s="178" t="s">
        <v>99</v>
      </c>
      <c r="F45" s="465">
        <v>1</v>
      </c>
      <c r="G45" s="115"/>
      <c r="H45" s="116"/>
    </row>
    <row r="46" spans="2:8" s="4" customFormat="1" ht="51">
      <c r="B46" s="153" t="s">
        <v>5899</v>
      </c>
      <c r="C46" s="653" t="s">
        <v>5849</v>
      </c>
      <c r="D46" s="179" t="s">
        <v>5911</v>
      </c>
      <c r="E46" s="178" t="s">
        <v>99</v>
      </c>
      <c r="F46" s="465">
        <v>1</v>
      </c>
      <c r="G46" s="115"/>
      <c r="H46" s="116"/>
    </row>
    <row r="47" spans="2:8" s="4" customFormat="1">
      <c r="B47" s="153" t="s">
        <v>5900</v>
      </c>
      <c r="C47" s="653" t="s">
        <v>5849</v>
      </c>
      <c r="D47" s="179" t="s">
        <v>5913</v>
      </c>
      <c r="E47" s="178" t="s">
        <v>99</v>
      </c>
      <c r="F47" s="465">
        <f>5</f>
        <v>5</v>
      </c>
      <c r="G47" s="115"/>
      <c r="H47" s="116"/>
    </row>
    <row r="48" spans="2:8" s="4" customFormat="1">
      <c r="B48" s="153" t="s">
        <v>5901</v>
      </c>
      <c r="C48" s="653" t="s">
        <v>5849</v>
      </c>
      <c r="D48" s="179" t="s">
        <v>5915</v>
      </c>
      <c r="E48" s="178" t="s">
        <v>99</v>
      </c>
      <c r="F48" s="465">
        <v>1</v>
      </c>
      <c r="G48" s="115"/>
      <c r="H48" s="116"/>
    </row>
    <row r="49" spans="2:8" s="4" customFormat="1">
      <c r="B49" s="153" t="s">
        <v>5922</v>
      </c>
      <c r="C49" s="653" t="s">
        <v>5849</v>
      </c>
      <c r="D49" s="179" t="s">
        <v>5917</v>
      </c>
      <c r="E49" s="178" t="s">
        <v>99</v>
      </c>
      <c r="F49" s="465">
        <v>5</v>
      </c>
      <c r="G49" s="115"/>
      <c r="H49" s="116"/>
    </row>
    <row r="50" spans="2:8" s="4" customFormat="1" ht="13.5" thickBot="1">
      <c r="B50" s="153" t="s">
        <v>5923</v>
      </c>
      <c r="C50" s="653" t="s">
        <v>5849</v>
      </c>
      <c r="D50" s="179" t="s">
        <v>5919</v>
      </c>
      <c r="E50" s="178" t="s">
        <v>99</v>
      </c>
      <c r="F50" s="465">
        <v>1</v>
      </c>
      <c r="G50" s="115"/>
      <c r="H50" s="116"/>
    </row>
    <row r="51" spans="2:8" s="64" customFormat="1" ht="16.5" thickBot="1">
      <c r="B51" s="166" t="s">
        <v>5902</v>
      </c>
      <c r="C51" s="111"/>
      <c r="D51" s="111"/>
      <c r="E51" s="111"/>
      <c r="F51" s="111"/>
      <c r="G51" s="111"/>
      <c r="H51" s="614"/>
    </row>
    <row r="52" spans="2:8" s="4" customFormat="1" ht="25.5">
      <c r="B52" s="153" t="s">
        <v>5903</v>
      </c>
      <c r="C52" s="653" t="s">
        <v>5849</v>
      </c>
      <c r="D52" s="179" t="s">
        <v>5909</v>
      </c>
      <c r="E52" s="178" t="s">
        <v>99</v>
      </c>
      <c r="F52" s="465">
        <v>1</v>
      </c>
      <c r="G52" s="115"/>
      <c r="H52" s="116"/>
    </row>
    <row r="53" spans="2:8" s="4" customFormat="1" ht="51">
      <c r="B53" s="153" t="s">
        <v>5905</v>
      </c>
      <c r="C53" s="653" t="s">
        <v>5849</v>
      </c>
      <c r="D53" s="179" t="s">
        <v>5911</v>
      </c>
      <c r="E53" s="178" t="s">
        <v>99</v>
      </c>
      <c r="F53" s="465">
        <v>1</v>
      </c>
      <c r="G53" s="115"/>
      <c r="H53" s="116"/>
    </row>
    <row r="54" spans="2:8" s="4" customFormat="1">
      <c r="B54" s="153" t="s">
        <v>5906</v>
      </c>
      <c r="C54" s="653" t="s">
        <v>5849</v>
      </c>
      <c r="D54" s="179" t="s">
        <v>5913</v>
      </c>
      <c r="E54" s="178" t="s">
        <v>99</v>
      </c>
      <c r="F54" s="465">
        <v>2</v>
      </c>
      <c r="G54" s="115"/>
      <c r="H54" s="116"/>
    </row>
    <row r="55" spans="2:8" s="4" customFormat="1">
      <c r="B55" s="153" t="s">
        <v>5907</v>
      </c>
      <c r="C55" s="653" t="s">
        <v>5849</v>
      </c>
      <c r="D55" s="179" t="s">
        <v>5915</v>
      </c>
      <c r="E55" s="178" t="s">
        <v>99</v>
      </c>
      <c r="F55" s="465">
        <v>1</v>
      </c>
      <c r="G55" s="115"/>
      <c r="H55" s="116"/>
    </row>
    <row r="56" spans="2:8" s="4" customFormat="1">
      <c r="B56" s="153" t="s">
        <v>5924</v>
      </c>
      <c r="C56" s="653" t="s">
        <v>5849</v>
      </c>
      <c r="D56" s="179" t="s">
        <v>5917</v>
      </c>
      <c r="E56" s="178" t="s">
        <v>99</v>
      </c>
      <c r="F56" s="465">
        <v>2</v>
      </c>
      <c r="G56" s="115"/>
      <c r="H56" s="116"/>
    </row>
    <row r="57" spans="2:8" s="4" customFormat="1" ht="13.5" thickBot="1">
      <c r="B57" s="153" t="s">
        <v>5925</v>
      </c>
      <c r="C57" s="653" t="s">
        <v>5849</v>
      </c>
      <c r="D57" s="179" t="s">
        <v>5919</v>
      </c>
      <c r="E57" s="178" t="s">
        <v>99</v>
      </c>
      <c r="F57" s="465">
        <v>1</v>
      </c>
      <c r="G57" s="115"/>
      <c r="H57" s="116"/>
    </row>
    <row r="58" spans="2:8" s="64" customFormat="1" ht="16.5" thickBot="1">
      <c r="B58" s="166" t="s">
        <v>5926</v>
      </c>
      <c r="C58" s="111"/>
      <c r="D58" s="111"/>
      <c r="E58" s="111"/>
      <c r="F58" s="111"/>
      <c r="G58" s="111"/>
      <c r="H58" s="614"/>
    </row>
    <row r="59" spans="2:8" s="4" customFormat="1">
      <c r="B59" s="153" t="s">
        <v>5927</v>
      </c>
      <c r="C59" s="653" t="s">
        <v>5849</v>
      </c>
      <c r="D59" s="117" t="s">
        <v>5928</v>
      </c>
      <c r="E59" s="114" t="s">
        <v>309</v>
      </c>
      <c r="F59" s="655">
        <v>1</v>
      </c>
      <c r="G59" s="656"/>
      <c r="H59" s="657"/>
    </row>
    <row r="60" spans="2:8" s="4" customFormat="1">
      <c r="B60" s="153" t="s">
        <v>5929</v>
      </c>
      <c r="C60" s="653" t="s">
        <v>5849</v>
      </c>
      <c r="D60" s="117" t="s">
        <v>5930</v>
      </c>
      <c r="E60" s="114" t="s">
        <v>99</v>
      </c>
      <c r="F60" s="655">
        <f>+F11+F16+F21+F26</f>
        <v>6</v>
      </c>
      <c r="G60" s="656"/>
      <c r="H60" s="657"/>
    </row>
    <row r="61" spans="2:8" s="4" customFormat="1" ht="25.5">
      <c r="B61" s="153" t="s">
        <v>5931</v>
      </c>
      <c r="C61" s="653" t="s">
        <v>5849</v>
      </c>
      <c r="D61" s="587" t="s">
        <v>5932</v>
      </c>
      <c r="E61" s="114" t="s">
        <v>99</v>
      </c>
      <c r="F61" s="655">
        <v>18</v>
      </c>
      <c r="G61" s="656"/>
      <c r="H61" s="657"/>
    </row>
    <row r="62" spans="2:8" s="4" customFormat="1">
      <c r="B62" s="153" t="s">
        <v>5933</v>
      </c>
      <c r="C62" s="653" t="s">
        <v>5849</v>
      </c>
      <c r="D62" s="117" t="s">
        <v>5356</v>
      </c>
      <c r="E62" s="114" t="s">
        <v>309</v>
      </c>
      <c r="F62" s="655">
        <v>1</v>
      </c>
      <c r="G62" s="656"/>
      <c r="H62" s="657"/>
    </row>
    <row r="63" spans="2:8" s="4" customFormat="1">
      <c r="B63" s="153" t="s">
        <v>5934</v>
      </c>
      <c r="C63" s="653" t="s">
        <v>5849</v>
      </c>
      <c r="D63" s="117" t="s">
        <v>5358</v>
      </c>
      <c r="E63" s="114" t="s">
        <v>309</v>
      </c>
      <c r="F63" s="655">
        <v>1</v>
      </c>
      <c r="G63" s="656"/>
      <c r="H63" s="657"/>
    </row>
    <row r="64" spans="2:8" ht="6" customHeight="1" thickBot="1">
      <c r="B64" s="105"/>
      <c r="C64" s="106"/>
      <c r="D64" s="106"/>
      <c r="E64" s="106"/>
      <c r="F64" s="106"/>
      <c r="G64" s="106"/>
      <c r="H64" s="107"/>
    </row>
    <row r="65" spans="2:8" ht="16.5" thickBot="1">
      <c r="B65" s="90" t="s">
        <v>5935</v>
      </c>
      <c r="C65" s="219"/>
      <c r="D65" s="131"/>
      <c r="E65" s="220"/>
      <c r="F65" s="604"/>
      <c r="G65" s="91"/>
      <c r="H65" s="605"/>
    </row>
    <row r="66" spans="2:8">
      <c r="B66" s="556" t="s">
        <v>4837</v>
      </c>
      <c r="C66" s="557"/>
      <c r="D66" s="557"/>
      <c r="E66" s="557"/>
      <c r="F66" s="557"/>
      <c r="G66" s="92"/>
    </row>
  </sheetData>
  <mergeCells count="1">
    <mergeCell ref="B66:F66"/>
  </mergeCells>
  <printOptions horizontalCentered="1"/>
  <pageMargins left="0.62992125984251968" right="0.23622047244094491" top="0.59055118110236227" bottom="0.47244094488188981" header="0.31496062992125984" footer="0.31496062992125984"/>
  <pageSetup paperSize="119" scale="72" fitToHeight="0" orientation="portrait" verticalDpi="1200" r:id="rId1"/>
  <headerFooter>
    <oddFooter>&amp;CPágina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C400F175775242BB337C1F858C6A9C" ma:contentTypeVersion="8" ma:contentTypeDescription="Create a new document." ma:contentTypeScope="" ma:versionID="494d9765d21b3427fbe9e5de7fe5266c">
  <xsd:schema xmlns:xsd="http://www.w3.org/2001/XMLSchema" xmlns:xs="http://www.w3.org/2001/XMLSchema" xmlns:p="http://schemas.microsoft.com/office/2006/metadata/properties" xmlns:ns2="df696e27-f6c1-4ca7-8ae7-24a038902300" targetNamespace="http://schemas.microsoft.com/office/2006/metadata/properties" ma:root="true" ma:fieldsID="f0b8677251d85535efe7a9cfdd2af782" ns2:_="">
    <xsd:import namespace="df696e27-f6c1-4ca7-8ae7-24a03890230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96e27-f6c1-4ca7-8ae7-24a038902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E7EAEF-5FF2-4E1B-A74F-9A78525DB637}"/>
</file>

<file path=customXml/itemProps2.xml><?xml version="1.0" encoding="utf-8"?>
<ds:datastoreItem xmlns:ds="http://schemas.openxmlformats.org/officeDocument/2006/customXml" ds:itemID="{9971AA3F-5F3B-483A-B520-DF167C10A571}"/>
</file>

<file path=customXml/itemProps3.xml><?xml version="1.0" encoding="utf-8"?>
<ds:datastoreItem xmlns:ds="http://schemas.openxmlformats.org/officeDocument/2006/customXml" ds:itemID="{232DDDF1-A511-4FD9-BB35-18362C4F753C}"/>
</file>

<file path=docProps/app.xml><?xml version="1.0" encoding="utf-8"?>
<Properties xmlns="http://schemas.openxmlformats.org/officeDocument/2006/extended-properties" xmlns:vt="http://schemas.openxmlformats.org/officeDocument/2006/docPropsVTypes">
  <Application>Microsoft Excel Online</Application>
  <Manager/>
  <Company>PNUD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Proyecto PAR/97/021</dc:creator>
  <cp:keywords/>
  <dc:description/>
  <cp:lastModifiedBy>Julio Torres</cp:lastModifiedBy>
  <cp:revision/>
  <dcterms:created xsi:type="dcterms:W3CDTF">2001-09-20T00:26:39Z</dcterms:created>
  <dcterms:modified xsi:type="dcterms:W3CDTF">2020-10-19T11:41:02Z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0x0101006DC400F175775242BB337C1F858C6A9C</vt:lpwstr>
  </property>
</Properties>
</file>